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cjone17\Box\COMPASS_CNM\"/>
    </mc:Choice>
  </mc:AlternateContent>
  <xr:revisionPtr revIDLastSave="0" documentId="8_{17825205-3A59-4F6A-93EC-1C75BDDFBB13}" xr6:coauthVersionLast="36" xr6:coauthVersionMax="36" xr10:uidLastSave="{00000000-0000-0000-0000-000000000000}"/>
  <bookViews>
    <workbookView xWindow="0" yWindow="0" windowWidth="19200" windowHeight="6350" tabRatio="64" xr2:uid="{6C26C34C-BEC9-4EFC-83C9-9750B6C416B2}"/>
  </bookViews>
  <sheets>
    <sheet name="Home" sheetId="3" r:id="rId1"/>
    <sheet name="CPNY" sheetId="1" r:id="rId2"/>
    <sheet name="INDV" sheetId="23" r:id="rId3"/>
    <sheet name="STPT" sheetId="24" r:id="rId4"/>
    <sheet name="FRGN" sheetId="22" r:id="rId5"/>
    <sheet name="Drop Down" sheetId="15" state="hidden" r:id="rId6"/>
  </sheets>
  <definedNames>
    <definedName name="_xlnm._FilterDatabase" localSheetId="1" hidden="1">CPNY!$B$2:$F$99</definedName>
    <definedName name="_xlnm._FilterDatabase" localSheetId="4" hidden="1">FRGN!$B$2:$F$43</definedName>
    <definedName name="_xlnm._FilterDatabase" localSheetId="2" hidden="1">INDV!$B$2:$F$99</definedName>
    <definedName name="_xlnm._FilterDatabase" localSheetId="3" hidden="1">STPT!$B$2:$F$99</definedName>
    <definedName name="_xlnm.Print_Area" localSheetId="1">CPNY!$A$1:$I$99</definedName>
    <definedName name="_xlnm.Print_Area" localSheetId="4">FRGN!$A$1:$H$73</definedName>
    <definedName name="_xlnm.Print_Area" localSheetId="2">INDV!$A$1:$I$99</definedName>
    <definedName name="_xlnm.Print_Area" localSheetId="3">STPT!$A$1:$I$99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23" l="1"/>
  <c r="B2" i="24"/>
  <c r="C99" i="24"/>
  <c r="G96" i="24"/>
  <c r="G94" i="24"/>
  <c r="C93" i="24"/>
  <c r="C92" i="24"/>
  <c r="G86" i="24"/>
  <c r="G85" i="24"/>
  <c r="G84" i="24"/>
  <c r="G83" i="24"/>
  <c r="C83" i="24"/>
  <c r="G82" i="24"/>
  <c r="C82" i="24"/>
  <c r="G81" i="24"/>
  <c r="G80" i="24"/>
  <c r="C80" i="24"/>
  <c r="C79" i="24"/>
  <c r="G78" i="24"/>
  <c r="G77" i="24"/>
  <c r="G76" i="24"/>
  <c r="G72" i="24"/>
  <c r="G69" i="24"/>
  <c r="G68" i="24"/>
  <c r="C68" i="24"/>
  <c r="G66" i="24"/>
  <c r="G65" i="24"/>
  <c r="G64" i="24"/>
  <c r="G63" i="24"/>
  <c r="G56" i="24"/>
  <c r="C56" i="24"/>
  <c r="G55" i="24"/>
  <c r="C55" i="24"/>
  <c r="G54" i="24"/>
  <c r="G53" i="24"/>
  <c r="G52" i="24"/>
  <c r="G51" i="24"/>
  <c r="G50" i="24"/>
  <c r="G47" i="24"/>
  <c r="C47" i="24"/>
  <c r="G46" i="24"/>
  <c r="G45" i="24"/>
  <c r="G44" i="24"/>
  <c r="G43" i="24"/>
  <c r="G42" i="24"/>
  <c r="G40" i="24"/>
  <c r="C40" i="24"/>
  <c r="G39" i="24"/>
  <c r="C39" i="24"/>
  <c r="C36" i="24"/>
  <c r="C35" i="24"/>
  <c r="G28" i="24"/>
  <c r="G27" i="24"/>
  <c r="G26" i="24"/>
  <c r="G25" i="24"/>
  <c r="G24" i="24"/>
  <c r="G23" i="24"/>
  <c r="G22" i="24"/>
  <c r="G21" i="24"/>
  <c r="G19" i="24"/>
  <c r="G17" i="24"/>
  <c r="C17" i="24"/>
  <c r="C15" i="24"/>
  <c r="C14" i="24"/>
  <c r="C12" i="24"/>
  <c r="G9" i="24"/>
  <c r="B8" i="24"/>
  <c r="G7" i="24"/>
  <c r="B7" i="24"/>
  <c r="B6" i="24"/>
  <c r="G5" i="24"/>
  <c r="B5" i="24"/>
  <c r="G4" i="24"/>
  <c r="B4" i="24"/>
  <c r="B3" i="24"/>
  <c r="J2" i="24"/>
  <c r="G1" i="24"/>
  <c r="C99" i="23"/>
  <c r="G96" i="23"/>
  <c r="G94" i="23"/>
  <c r="C93" i="23"/>
  <c r="C92" i="23"/>
  <c r="G86" i="23"/>
  <c r="G85" i="23"/>
  <c r="G84" i="23"/>
  <c r="G83" i="23"/>
  <c r="C83" i="23"/>
  <c r="G82" i="23"/>
  <c r="C82" i="23"/>
  <c r="G81" i="23"/>
  <c r="G80" i="23"/>
  <c r="C80" i="23"/>
  <c r="C79" i="23"/>
  <c r="G78" i="23"/>
  <c r="G77" i="23"/>
  <c r="G76" i="23"/>
  <c r="G72" i="23"/>
  <c r="G69" i="23"/>
  <c r="G68" i="23"/>
  <c r="C68" i="23"/>
  <c r="G66" i="23"/>
  <c r="G65" i="23"/>
  <c r="G64" i="23"/>
  <c r="G63" i="23"/>
  <c r="G56" i="23"/>
  <c r="C56" i="23"/>
  <c r="G55" i="23"/>
  <c r="C55" i="23"/>
  <c r="G54" i="23"/>
  <c r="G53" i="23"/>
  <c r="G52" i="23"/>
  <c r="G51" i="23"/>
  <c r="G50" i="23"/>
  <c r="G47" i="23"/>
  <c r="C47" i="23"/>
  <c r="G46" i="23"/>
  <c r="G45" i="23"/>
  <c r="G44" i="23"/>
  <c r="G43" i="23"/>
  <c r="G42" i="23"/>
  <c r="G40" i="23"/>
  <c r="C40" i="23"/>
  <c r="G39" i="23"/>
  <c r="C39" i="23"/>
  <c r="C36" i="23"/>
  <c r="C35" i="23"/>
  <c r="G28" i="23"/>
  <c r="G27" i="23"/>
  <c r="G26" i="23"/>
  <c r="G25" i="23"/>
  <c r="G24" i="23"/>
  <c r="G23" i="23"/>
  <c r="G22" i="23"/>
  <c r="G21" i="23"/>
  <c r="G19" i="23"/>
  <c r="G17" i="23"/>
  <c r="C17" i="23"/>
  <c r="C15" i="23"/>
  <c r="C14" i="23"/>
  <c r="C12" i="23"/>
  <c r="G9" i="23"/>
  <c r="B8" i="23"/>
  <c r="G7" i="23"/>
  <c r="B7" i="23"/>
  <c r="B6" i="23"/>
  <c r="G5" i="23"/>
  <c r="E5" i="23"/>
  <c r="B5" i="23"/>
  <c r="G4" i="23"/>
  <c r="B4" i="23"/>
  <c r="B3" i="23"/>
  <c r="J2" i="23"/>
  <c r="G1" i="23"/>
  <c r="E49" i="23" l="1"/>
  <c r="B49" i="23" s="1"/>
  <c r="B99" i="23"/>
  <c r="B45" i="24"/>
  <c r="B39" i="23"/>
  <c r="B50" i="24"/>
  <c r="B99" i="24"/>
  <c r="B13" i="24"/>
  <c r="B54" i="24"/>
  <c r="B68" i="24"/>
  <c r="B18" i="24"/>
  <c r="B24" i="24"/>
  <c r="B40" i="24"/>
  <c r="B78" i="24"/>
  <c r="B46" i="24"/>
  <c r="B91" i="24"/>
  <c r="B19" i="24"/>
  <c r="B35" i="24"/>
  <c r="B25" i="24"/>
  <c r="B41" i="24"/>
  <c r="B55" i="24"/>
  <c r="B79" i="24"/>
  <c r="B20" i="24"/>
  <c r="B31" i="24"/>
  <c r="B36" i="24"/>
  <c r="B42" i="24"/>
  <c r="B47" i="24"/>
  <c r="B60" i="24"/>
  <c r="B26" i="24"/>
  <c r="B70" i="24"/>
  <c r="B21" i="24"/>
  <c r="B37" i="24"/>
  <c r="B43" i="24"/>
  <c r="B61" i="24"/>
  <c r="B16" i="24"/>
  <c r="B27" i="24"/>
  <c r="B38" i="24"/>
  <c r="B22" i="24"/>
  <c r="B53" i="24"/>
  <c r="B62" i="24"/>
  <c r="B98" i="24"/>
  <c r="B44" i="24"/>
  <c r="B89" i="24"/>
  <c r="B12" i="24"/>
  <c r="B28" i="24"/>
  <c r="B39" i="24"/>
  <c r="B67" i="24"/>
  <c r="B23" i="24"/>
  <c r="B85" i="24"/>
  <c r="E89" i="23"/>
  <c r="B45" i="23"/>
  <c r="E85" i="23"/>
  <c r="B85" i="23" s="1"/>
  <c r="B67" i="23"/>
  <c r="E13" i="23"/>
  <c r="B13" i="23" s="1"/>
  <c r="E34" i="23"/>
  <c r="E50" i="23"/>
  <c r="E54" i="23"/>
  <c r="B68" i="23"/>
  <c r="E90" i="23"/>
  <c r="B12" i="23"/>
  <c r="E72" i="23"/>
  <c r="B72" i="23" s="1"/>
  <c r="E17" i="23"/>
  <c r="B17" i="23" s="1"/>
  <c r="B18" i="23"/>
  <c r="B24" i="23"/>
  <c r="E29" i="23"/>
  <c r="B40" i="23"/>
  <c r="E58" i="23"/>
  <c r="E73" i="23"/>
  <c r="B78" i="23"/>
  <c r="B46" i="23"/>
  <c r="E64" i="23"/>
  <c r="E82" i="23"/>
  <c r="E95" i="23"/>
  <c r="E9" i="23"/>
  <c r="B19" i="23"/>
  <c r="B35" i="23"/>
  <c r="E86" i="23"/>
  <c r="B86" i="23" s="1"/>
  <c r="E91" i="23"/>
  <c r="B25" i="23"/>
  <c r="E30" i="23"/>
  <c r="B41" i="23"/>
  <c r="E51" i="23"/>
  <c r="B51" i="23" s="1"/>
  <c r="E59" i="23"/>
  <c r="E69" i="23"/>
  <c r="E74" i="23"/>
  <c r="E55" i="23"/>
  <c r="B79" i="23"/>
  <c r="E96" i="23"/>
  <c r="E14" i="23"/>
  <c r="B36" i="23"/>
  <c r="B42" i="23"/>
  <c r="B47" i="23"/>
  <c r="E65" i="23"/>
  <c r="E81" i="23"/>
  <c r="B20" i="23"/>
  <c r="E10" i="23"/>
  <c r="B10" i="23" s="1"/>
  <c r="B26" i="23"/>
  <c r="E31" i="23"/>
  <c r="B31" i="23" s="1"/>
  <c r="E60" i="23"/>
  <c r="B70" i="23"/>
  <c r="E75" i="23"/>
  <c r="E83" i="23"/>
  <c r="E87" i="23"/>
  <c r="E92" i="23"/>
  <c r="B92" i="23" s="1"/>
  <c r="E33" i="23"/>
  <c r="E15" i="23"/>
  <c r="B21" i="23"/>
  <c r="B37" i="23"/>
  <c r="E52" i="23"/>
  <c r="B52" i="23" s="1"/>
  <c r="B23" i="23"/>
  <c r="B43" i="23"/>
  <c r="B61" i="23"/>
  <c r="E80" i="23"/>
  <c r="E97" i="23"/>
  <c r="B28" i="23"/>
  <c r="E11" i="23"/>
  <c r="B16" i="23"/>
  <c r="B27" i="23"/>
  <c r="E32" i="23"/>
  <c r="B38" i="23"/>
  <c r="E48" i="23"/>
  <c r="E56" i="23"/>
  <c r="B56" i="23" s="1"/>
  <c r="E66" i="23"/>
  <c r="E71" i="23"/>
  <c r="B71" i="23" s="1"/>
  <c r="E76" i="23"/>
  <c r="E88" i="23"/>
  <c r="B22" i="23"/>
  <c r="B62" i="23"/>
  <c r="E84" i="23"/>
  <c r="E93" i="23"/>
  <c r="B98" i="23"/>
  <c r="B44" i="23"/>
  <c r="E53" i="23"/>
  <c r="B53" i="23" s="1"/>
  <c r="E57" i="23"/>
  <c r="B57" i="23" s="1"/>
  <c r="E63" i="23"/>
  <c r="B63" i="23" s="1"/>
  <c r="E77" i="23"/>
  <c r="E94" i="23"/>
  <c r="B77" i="23" l="1"/>
  <c r="B81" i="23"/>
  <c r="B83" i="23"/>
  <c r="B30" i="23"/>
  <c r="B72" i="24"/>
  <c r="B48" i="24"/>
  <c r="B52" i="24"/>
  <c r="B10" i="24"/>
  <c r="B75" i="23"/>
  <c r="B74" i="24"/>
  <c r="B90" i="24"/>
  <c r="B32" i="24"/>
  <c r="B60" i="23"/>
  <c r="B55" i="23"/>
  <c r="B59" i="24"/>
  <c r="B82" i="24"/>
  <c r="B54" i="23"/>
  <c r="B50" i="23"/>
  <c r="B63" i="24"/>
  <c r="B83" i="24"/>
  <c r="B75" i="24"/>
  <c r="B97" i="23"/>
  <c r="B88" i="24"/>
  <c r="B80" i="23"/>
  <c r="B88" i="23"/>
  <c r="B95" i="23"/>
  <c r="B93" i="24"/>
  <c r="B84" i="23"/>
  <c r="B89" i="23"/>
  <c r="B66" i="23"/>
  <c r="B94" i="23"/>
  <c r="B87" i="23"/>
  <c r="B96" i="23"/>
  <c r="B64" i="23"/>
  <c r="B29" i="23"/>
  <c r="B81" i="24"/>
  <c r="B56" i="24"/>
  <c r="B58" i="24"/>
  <c r="B9" i="24"/>
  <c r="B94" i="24"/>
  <c r="B48" i="23"/>
  <c r="B14" i="23"/>
  <c r="B90" i="23"/>
  <c r="B49" i="24"/>
  <c r="B69" i="24"/>
  <c r="B95" i="24"/>
  <c r="B65" i="24"/>
  <c r="B29" i="24"/>
  <c r="B15" i="24"/>
  <c r="B32" i="23"/>
  <c r="B9" i="23"/>
  <c r="B77" i="24"/>
  <c r="B33" i="24"/>
  <c r="B97" i="24"/>
  <c r="B51" i="24"/>
  <c r="B11" i="23"/>
  <c r="B80" i="24"/>
  <c r="B92" i="24"/>
  <c r="B96" i="24"/>
  <c r="B11" i="24"/>
  <c r="B33" i="23"/>
  <c r="B91" i="23"/>
  <c r="B87" i="24"/>
  <c r="B30" i="24"/>
  <c r="B64" i="24"/>
  <c r="B34" i="24"/>
  <c r="B34" i="23"/>
  <c r="B57" i="24"/>
  <c r="B14" i="24"/>
  <c r="B73" i="23"/>
  <c r="B15" i="23"/>
  <c r="B74" i="23"/>
  <c r="B58" i="23"/>
  <c r="B17" i="24"/>
  <c r="B93" i="23"/>
  <c r="B65" i="23"/>
  <c r="B69" i="23"/>
  <c r="B82" i="23"/>
  <c r="B71" i="24"/>
  <c r="B86" i="24"/>
  <c r="B76" i="24"/>
  <c r="B76" i="23"/>
  <c r="B59" i="23"/>
  <c r="B84" i="24"/>
  <c r="B66" i="24"/>
  <c r="B73" i="24"/>
  <c r="G2" i="23" l="1"/>
  <c r="G2" i="24"/>
  <c r="B2" i="1" l="1"/>
  <c r="G69" i="1"/>
  <c r="G86" i="1"/>
  <c r="G84" i="1"/>
  <c r="G85" i="1"/>
  <c r="G81" i="1"/>
  <c r="G82" i="1"/>
  <c r="G83" i="1"/>
  <c r="G66" i="1" l="1"/>
  <c r="G63" i="1" l="1"/>
  <c r="G68" i="1" l="1"/>
  <c r="G65" i="1"/>
  <c r="G56" i="1"/>
  <c r="G55" i="1"/>
  <c r="G54" i="1"/>
  <c r="G53" i="1"/>
  <c r="G52" i="1"/>
  <c r="G51" i="1"/>
  <c r="G50" i="1"/>
  <c r="G47" i="1"/>
  <c r="G46" i="1"/>
  <c r="G45" i="1"/>
  <c r="G44" i="1"/>
  <c r="G43" i="1"/>
  <c r="G42" i="1"/>
  <c r="G40" i="1"/>
  <c r="G39" i="1"/>
  <c r="G17" i="1"/>
  <c r="G6" i="22"/>
  <c r="G40" i="22"/>
  <c r="G37" i="22"/>
  <c r="G36" i="22"/>
  <c r="G35" i="22"/>
  <c r="G34" i="22"/>
  <c r="G33" i="22"/>
  <c r="G21" i="22"/>
  <c r="G18" i="22"/>
  <c r="G17" i="22"/>
  <c r="G15" i="22"/>
  <c r="G16" i="22"/>
  <c r="D5" i="22" l="1"/>
  <c r="D6" i="22"/>
  <c r="G5" i="22"/>
  <c r="G4" i="22"/>
  <c r="G80" i="1" l="1"/>
  <c r="C9" i="3"/>
  <c r="G64" i="1" l="1"/>
  <c r="G19" i="1"/>
  <c r="G5" i="1"/>
  <c r="G4" i="1"/>
  <c r="D5" i="1" l="1"/>
  <c r="G1" i="22" l="1"/>
  <c r="C34" i="22"/>
  <c r="G96" i="1" l="1"/>
  <c r="G72" i="1" l="1"/>
  <c r="G71" i="22"/>
  <c r="G42" i="22"/>
  <c r="C17" i="22"/>
  <c r="B8" i="22" l="1"/>
  <c r="B6" i="22"/>
  <c r="B4" i="22"/>
  <c r="B8" i="1"/>
  <c r="B6" i="1"/>
  <c r="B4" i="1"/>
  <c r="C80" i="1"/>
  <c r="G28" i="1"/>
  <c r="G27" i="1"/>
  <c r="G26" i="1"/>
  <c r="G25" i="1"/>
  <c r="G24" i="1"/>
  <c r="G23" i="1"/>
  <c r="G22" i="1"/>
  <c r="G21" i="1"/>
  <c r="G1" i="1" l="1"/>
  <c r="C61" i="22"/>
  <c r="G47" i="22"/>
  <c r="C16" i="22"/>
  <c r="B3" i="22" l="1"/>
  <c r="C99" i="1" l="1"/>
  <c r="C82" i="1"/>
  <c r="C55" i="1"/>
  <c r="C47" i="1"/>
  <c r="C14" i="1"/>
  <c r="C35" i="1"/>
  <c r="G3" i="22" l="1"/>
  <c r="G9" i="22"/>
  <c r="G60" i="22"/>
  <c r="G24" i="22"/>
  <c r="G25" i="22"/>
  <c r="G26" i="22"/>
  <c r="G27" i="22"/>
  <c r="G7" i="22"/>
  <c r="D7" i="22"/>
  <c r="B7" i="22" s="1"/>
  <c r="B5" i="22"/>
  <c r="G62" i="22"/>
  <c r="C60" i="22"/>
  <c r="L4" i="15"/>
  <c r="D18" i="22" l="1"/>
  <c r="B18" i="22" s="1"/>
  <c r="D40" i="22"/>
  <c r="B40" i="22" s="1"/>
  <c r="D33" i="22"/>
  <c r="B33" i="22" s="1"/>
  <c r="D21" i="22"/>
  <c r="B21" i="22" s="1"/>
  <c r="D15" i="22"/>
  <c r="B15" i="22" s="1"/>
  <c r="D17" i="22"/>
  <c r="B17" i="22" s="1"/>
  <c r="D16" i="22"/>
  <c r="B16" i="22" s="1"/>
  <c r="D35" i="22"/>
  <c r="B35" i="22" s="1"/>
  <c r="D42" i="22"/>
  <c r="B42" i="22" s="1"/>
  <c r="D34" i="22"/>
  <c r="B34" i="22" s="1"/>
  <c r="D37" i="22"/>
  <c r="B37" i="22" s="1"/>
  <c r="D36" i="22"/>
  <c r="B36" i="22" s="1"/>
  <c r="D32" i="22"/>
  <c r="B32" i="22" s="1"/>
  <c r="D71" i="22"/>
  <c r="B71" i="22" s="1"/>
  <c r="D60" i="22"/>
  <c r="B60" i="22" s="1"/>
  <c r="D58" i="22"/>
  <c r="B58" i="22" s="1"/>
  <c r="D66" i="22"/>
  <c r="B66" i="22" s="1"/>
  <c r="D67" i="22"/>
  <c r="B67" i="22" s="1"/>
  <c r="D72" i="22"/>
  <c r="B72" i="22" s="1"/>
  <c r="D70" i="22"/>
  <c r="B70" i="22" s="1"/>
  <c r="D73" i="22"/>
  <c r="B73" i="22" s="1"/>
  <c r="D64" i="22"/>
  <c r="B64" i="22" s="1"/>
  <c r="D54" i="22"/>
  <c r="B54" i="22" s="1"/>
  <c r="D61" i="22"/>
  <c r="B61" i="22" s="1"/>
  <c r="D59" i="22"/>
  <c r="B59" i="22" s="1"/>
  <c r="D50" i="22"/>
  <c r="B50" i="22" s="1"/>
  <c r="D56" i="22"/>
  <c r="B56" i="22" s="1"/>
  <c r="D55" i="22"/>
  <c r="B55" i="22" s="1"/>
  <c r="D51" i="22"/>
  <c r="B51" i="22" s="1"/>
  <c r="D52" i="22"/>
  <c r="B52" i="22" s="1"/>
  <c r="D47" i="22"/>
  <c r="B47" i="22" s="1"/>
  <c r="D48" i="22"/>
  <c r="B48" i="22" s="1"/>
  <c r="D49" i="22"/>
  <c r="B49" i="22" s="1"/>
  <c r="D68" i="22"/>
  <c r="B68" i="22" s="1"/>
  <c r="D46" i="22"/>
  <c r="B46" i="22" s="1"/>
  <c r="D63" i="22"/>
  <c r="B63" i="22" s="1"/>
  <c r="D69" i="22"/>
  <c r="B69" i="22" s="1"/>
  <c r="D45" i="22"/>
  <c r="B45" i="22" s="1"/>
  <c r="D53" i="22"/>
  <c r="B53" i="22" s="1"/>
  <c r="D57" i="22"/>
  <c r="B57" i="22" s="1"/>
  <c r="D65" i="22"/>
  <c r="B65" i="22" s="1"/>
  <c r="D62" i="22"/>
  <c r="B62" i="22" s="1"/>
  <c r="D28" i="22"/>
  <c r="B28" i="22" s="1"/>
  <c r="D27" i="22"/>
  <c r="B27" i="22" s="1"/>
  <c r="D26" i="22"/>
  <c r="B26" i="22" s="1"/>
  <c r="D25" i="22"/>
  <c r="B25" i="22" s="1"/>
  <c r="D24" i="22"/>
  <c r="B24" i="22" s="1"/>
  <c r="D20" i="22"/>
  <c r="B20" i="22" s="1"/>
  <c r="D43" i="22"/>
  <c r="B43" i="22" s="1"/>
  <c r="D41" i="22"/>
  <c r="B41" i="22" s="1"/>
  <c r="D14" i="22"/>
  <c r="B14" i="22" s="1"/>
  <c r="D39" i="22"/>
  <c r="B39" i="22" s="1"/>
  <c r="D29" i="22"/>
  <c r="B29" i="22" s="1"/>
  <c r="D23" i="22"/>
  <c r="B23" i="22" s="1"/>
  <c r="D22" i="22"/>
  <c r="B22" i="22" s="1"/>
  <c r="D19" i="22"/>
  <c r="B19" i="22" s="1"/>
  <c r="D12" i="22"/>
  <c r="B12" i="22" s="1"/>
  <c r="D13" i="22"/>
  <c r="B13" i="22" s="1"/>
  <c r="D44" i="22"/>
  <c r="B44" i="22" s="1"/>
  <c r="D10" i="22"/>
  <c r="B10" i="22" s="1"/>
  <c r="D38" i="22"/>
  <c r="B38" i="22" s="1"/>
  <c r="D11" i="22"/>
  <c r="B11" i="22" s="1"/>
  <c r="D31" i="22"/>
  <c r="B31" i="22" s="1"/>
  <c r="D30" i="22"/>
  <c r="B30" i="22" s="1"/>
  <c r="D9" i="22"/>
  <c r="B9" i="22" s="1"/>
  <c r="G69" i="22"/>
  <c r="G46" i="22"/>
  <c r="C57" i="22"/>
  <c r="C68" i="22"/>
  <c r="C66" i="22"/>
  <c r="C52" i="22"/>
  <c r="C51" i="22"/>
  <c r="G2" i="22" l="1"/>
  <c r="C79" i="1"/>
  <c r="B5" i="1"/>
  <c r="G7" i="1"/>
  <c r="D7" i="1"/>
  <c r="B7" i="1" s="1"/>
  <c r="G9" i="1"/>
  <c r="D69" i="1" l="1"/>
  <c r="D20" i="1"/>
  <c r="D17" i="1"/>
  <c r="D56" i="1"/>
  <c r="D47" i="1"/>
  <c r="B47" i="1" s="1"/>
  <c r="D55" i="1"/>
  <c r="D53" i="1"/>
  <c r="D52" i="1"/>
  <c r="D54" i="1"/>
  <c r="D50" i="1"/>
  <c r="D46" i="1"/>
  <c r="B46" i="1" s="1"/>
  <c r="D44" i="1"/>
  <c r="B44" i="1" s="1"/>
  <c r="D45" i="1"/>
  <c r="B45" i="1" s="1"/>
  <c r="D42" i="1"/>
  <c r="B42" i="1" s="1"/>
  <c r="D41" i="1"/>
  <c r="B41" i="1" s="1"/>
  <c r="D49" i="1"/>
  <c r="D22" i="1"/>
  <c r="D21" i="1"/>
  <c r="D23" i="1"/>
  <c r="D24" i="1"/>
  <c r="D25" i="1"/>
  <c r="B25" i="1" s="1"/>
  <c r="D26" i="1"/>
  <c r="B26" i="1" s="1"/>
  <c r="D27" i="1"/>
  <c r="D28" i="1"/>
  <c r="D80" i="1"/>
  <c r="D39" i="1"/>
  <c r="B39" i="1" s="1"/>
  <c r="D96" i="1"/>
  <c r="D72" i="1"/>
  <c r="D98" i="1"/>
  <c r="B98" i="1" s="1"/>
  <c r="D94" i="1"/>
  <c r="D82" i="1"/>
  <c r="D97" i="1"/>
  <c r="D93" i="1"/>
  <c r="D89" i="1"/>
  <c r="D85" i="1"/>
  <c r="D81" i="1"/>
  <c r="D75" i="1"/>
  <c r="D79" i="1"/>
  <c r="B79" i="1" s="1"/>
  <c r="D88" i="1"/>
  <c r="D84" i="1"/>
  <c r="D92" i="1"/>
  <c r="D78" i="1"/>
  <c r="B78" i="1" s="1"/>
  <c r="D95" i="1"/>
  <c r="D91" i="1"/>
  <c r="D87" i="1"/>
  <c r="D83" i="1"/>
  <c r="D77" i="1"/>
  <c r="D99" i="1"/>
  <c r="B99" i="1" s="1"/>
  <c r="D90" i="1"/>
  <c r="D86" i="1"/>
  <c r="D76" i="1"/>
  <c r="D19" i="1"/>
  <c r="D68" i="1"/>
  <c r="B68" i="1" s="1"/>
  <c r="D40" i="1"/>
  <c r="B40" i="1" s="1"/>
  <c r="D65" i="1"/>
  <c r="D66" i="1"/>
  <c r="D43" i="1"/>
  <c r="B43" i="1" s="1"/>
  <c r="D51" i="1"/>
  <c r="D31" i="1"/>
  <c r="D73" i="1"/>
  <c r="D71" i="1"/>
  <c r="D67" i="1"/>
  <c r="B67" i="1" s="1"/>
  <c r="D70" i="1"/>
  <c r="B70" i="1" s="1"/>
  <c r="D64" i="1"/>
  <c r="D63" i="1"/>
  <c r="D59" i="1"/>
  <c r="D62" i="1"/>
  <c r="D61" i="1"/>
  <c r="B61" i="1" s="1"/>
  <c r="D60" i="1"/>
  <c r="D38" i="1"/>
  <c r="B38" i="1" s="1"/>
  <c r="D36" i="1"/>
  <c r="B36" i="1" s="1"/>
  <c r="D35" i="1"/>
  <c r="B35" i="1" s="1"/>
  <c r="D33" i="1"/>
  <c r="D32" i="1"/>
  <c r="D34" i="1"/>
  <c r="D30" i="1"/>
  <c r="D12" i="1"/>
  <c r="B12" i="1" s="1"/>
  <c r="D18" i="1"/>
  <c r="D14" i="1"/>
  <c r="D13" i="1"/>
  <c r="D15" i="1"/>
  <c r="D16" i="1"/>
  <c r="D10" i="1"/>
  <c r="D74" i="1"/>
  <c r="D58" i="1"/>
  <c r="D57" i="1"/>
  <c r="D37" i="1"/>
  <c r="B37" i="1" s="1"/>
  <c r="D48" i="1"/>
  <c r="D29" i="1"/>
  <c r="D11" i="1"/>
  <c r="D9" i="1"/>
  <c r="B3" i="1"/>
  <c r="G76" i="1"/>
  <c r="G77" i="1"/>
  <c r="G78" i="1"/>
  <c r="C83" i="1"/>
  <c r="C92" i="1"/>
  <c r="C93" i="1"/>
  <c r="G94" i="1"/>
  <c r="B9" i="1" l="1"/>
  <c r="B33" i="1"/>
  <c r="B29" i="1"/>
  <c r="B34" i="1"/>
  <c r="B65" i="1"/>
  <c r="B77" i="1"/>
  <c r="B49" i="1"/>
  <c r="B56" i="1"/>
  <c r="B50" i="1"/>
  <c r="B55" i="1"/>
  <c r="B64" i="1"/>
  <c r="B85" i="1"/>
  <c r="B59" i="1"/>
  <c r="B72" i="1"/>
  <c r="B32" i="1"/>
  <c r="B91" i="1"/>
  <c r="B83" i="1"/>
  <c r="B75" i="1"/>
  <c r="B48" i="1"/>
  <c r="B93" i="1"/>
  <c r="B54" i="1"/>
  <c r="B52" i="1"/>
  <c r="B21" i="1"/>
  <c r="B58" i="1"/>
  <c r="B27" i="1"/>
  <c r="B86" i="1"/>
  <c r="B22" i="1"/>
  <c r="B53" i="1"/>
  <c r="B81" i="1"/>
  <c r="B71" i="1"/>
  <c r="B95" i="1"/>
  <c r="B23" i="1"/>
  <c r="B57" i="1"/>
  <c r="B73" i="1"/>
  <c r="B62" i="1"/>
  <c r="B87" i="1"/>
  <c r="B24" i="1"/>
  <c r="B69" i="1"/>
  <c r="B89" i="1"/>
  <c r="B96" i="1"/>
  <c r="B60" i="1"/>
  <c r="B97" i="1"/>
  <c r="B31" i="1"/>
  <c r="B76" i="1"/>
  <c r="B92" i="1"/>
  <c r="B51" i="1"/>
  <c r="B90" i="1"/>
  <c r="B80" i="1"/>
  <c r="B74" i="1"/>
  <c r="B30" i="1"/>
  <c r="B28" i="1"/>
  <c r="B84" i="1"/>
  <c r="B63" i="1"/>
  <c r="B88" i="1"/>
  <c r="B82" i="1"/>
  <c r="B66" i="1"/>
  <c r="B94" i="1"/>
  <c r="B10" i="1"/>
  <c r="B19" i="1"/>
  <c r="B14" i="1"/>
  <c r="B13" i="1"/>
  <c r="B11" i="1"/>
  <c r="B18" i="1"/>
  <c r="B16" i="1"/>
  <c r="B20" i="1"/>
  <c r="C8" i="3"/>
  <c r="B2" i="22" l="1"/>
  <c r="G20" i="22"/>
  <c r="C14" i="22" l="1"/>
  <c r="C13" i="22"/>
  <c r="J2" i="22"/>
  <c r="J2" i="1"/>
  <c r="C68" i="1" l="1"/>
  <c r="C56" i="1" l="1"/>
  <c r="C39" i="1"/>
  <c r="C36" i="1"/>
  <c r="C15" i="1"/>
  <c r="B15" i="1" s="1"/>
  <c r="G2" i="1" s="1"/>
  <c r="C12" i="1"/>
  <c r="C40" i="1"/>
  <c r="C17" i="1"/>
  <c r="B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Tran, Paul Anthony</author>
  </authors>
  <commentList>
    <comment ref="G12" authorId="0" shapeId="0" xr:uid="{53171308-5557-4F91-9DBE-5149E60313C0}">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 ref="G64" authorId="0" shapeId="0" xr:uid="{8966BC55-9799-49FD-BF19-4E855F48A7BF}">
      <text>
        <r>
          <rPr>
            <b/>
            <sz val="9"/>
            <color indexed="81"/>
            <rFont val="Tahoma"/>
            <family val="2"/>
          </rPr>
          <t xml:space="preserve">Emory requires its employees to avoid any business or financial relationship, transaction or event that may be viewed, internally or externally, as a conflict of interest between an employee and an outside party. As provided in the Emory By-laws, relations between Emory and contractors, consultants, vendors, suppliers and other third parties are to be maintained without any direct or indirect personal or financial benefit accruing to any employee of Emory or any member of the employee’s family.
Specific circumstances, which may constitute a conflict of interest, include, but are not limited to, the following:
Holding, either directly or indirectly, a position or financial interest* in an outside concern which provides services competitive with services rendered by Emory, or an outside concern from which Emory secures goods or services if the employee is involved in or may influence the ordering of such goods or services.
Competing, either directly or indirectly, with Emory in the purchase or sale of property or property rights, interests or services.
Disclosing or using non-public information obtained through Emory employment for personal profit or gain or for the profit or gain of an immediate family member.
Accepting gratuities or special favors, such as meals, airline tickets, hotel accommodations, entertainment, sporting event tickets, etc., from any outside concern that does, or is seeking to do business with Emory, or extending gratuities or special favors to employees of Emory, under circumstances which might reasonably be interpreted as an attempt to influence the employees in the performance of their duties. This does not include the acceptance of items of nominal or minor value ($40.00 or less) that are clearly tokens of respect or friendship and are not related to any particular transaction or activity of the university, nor does it include
business-related social events where the employee is representing the university’s interests.
Retaining, directly or indirectly, consultants who have a financial interest or employment that conflicts with services (including sponsored research) provided by Emory.
Any existing or proposed relationship, transaction or other event, which may raise a conflict of interest issue, is to be disclosed to the employee’s dean, director or vice president in writing to determine its appropriateness and to receive specific approval to maintain or proceed with such relationship, transaction or event.
</t>
        </r>
        <r>
          <rPr>
            <sz val="9"/>
            <color indexed="81"/>
            <rFont val="Tahoma"/>
            <family val="2"/>
          </rPr>
          <t xml:space="preserve">
</t>
        </r>
      </text>
    </comment>
    <comment ref="G67" authorId="0" shapeId="0" xr:uid="{35B69555-9BFC-461D-BE88-A5467F487DB9}">
      <text>
        <r>
          <rPr>
            <b/>
            <sz val="9"/>
            <color indexed="81"/>
            <rFont val="Tahoma"/>
            <family val="2"/>
          </rPr>
          <t xml:space="preserve">J.P. Morgan’s Single-Use Accounts (SUA) Program
This is an electronic card payment solution that enables us to make payment processes faster and more efficient. 
This is a voluntary payment solution that Emory is offering to expedite your payments.  
If you agree to participate in the program, we will convert your payment method to SUA. This means that you will get paid immediately upon invoice approval.
Emory does not charge any fee for this payment method however please check with your respective bank on the merchant exchange fee that they may charge which is generally 2.5% to 3%
The benefits to this program include: 
• Accelerated payments (i.e. payable upon invoice approval) that will help reduce days sales outstanding (DSO), improving cash flow for your Company
• Simplified process that eliminates check processing costs and helps reduce administration expense, account collections and follow-up
• Strengthens our business relationship
We are excited about the opportunity to improve processes for both of our organizations and to strengthen our business partnership. We are strongly committed to achieving 100% participation from our valued suppliers, such as you, with this program.
This is a great opportunity to partner with Emory University, JP Morgan Chase and our valued suppliers. We are enthused about this program and we hope you are too!
For additional questions, please contact J.P Morgan at 877-263-5184
</t>
        </r>
      </text>
    </comment>
    <comment ref="G79" authorId="0" shapeId="0" xr:uid="{7BD1741E-AE70-427F-BD96-C24B915A82C6}">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 Paul Anthony</author>
  </authors>
  <commentList>
    <comment ref="G12" authorId="0" shapeId="0" xr:uid="{718A92A5-6500-4BFD-B2F5-98AC9456971E}">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 ref="G64" authorId="0" shapeId="0" xr:uid="{629F3CFA-EAB5-4264-8F3A-8E25C4455A7D}">
      <text>
        <r>
          <rPr>
            <b/>
            <sz val="9"/>
            <color indexed="81"/>
            <rFont val="Tahoma"/>
            <family val="2"/>
          </rPr>
          <t xml:space="preserve">Emory requires its employees to avoid any business or financial relationship, transaction or event that may be viewed, internally or externally, as a conflict of interest between an employee and an outside party. As provided in the Emory By-laws, relations between Emory and contractors, consultants, vendors, suppliers and other third parties are to be maintained without any direct or indirect personal or financial benefit accruing to any employee of Emory or any member of the employee’s family.
Specific circumstances, which may constitute a conflict of interest, include, but are not limited to, the following:
Holding, either directly or indirectly, a position or financial interest* in an outside concern which provides services competitive with services rendered by Emory, or an outside concern from which Emory secures goods or services if the employee is involved in or may influence the ordering of such goods or services.
Competing, either directly or indirectly, with Emory in the purchase or sale of property or property rights, interests or services.
Disclosing or using non-public information obtained through Emory employment for personal profit or gain or for the profit or gain of an immediate family member.
Accepting gratuities or special favors, such as meals, airline tickets, hotel accommodations, entertainment, sporting event tickets, etc., from any outside concern that does, or is seeking to do business with Emory, or extending gratuities or special favors to employees of Emory, under circumstances which might reasonably be interpreted as an attempt to influence the employees in the performance of their duties. This does not include the acceptance of items of nominal or minor value ($40.00 or less) that are clearly tokens of respect or friendship and are not related to any particular transaction or activity of the university, nor does it include
business-related social events where the employee is representing the university’s interests.
Retaining, directly or indirectly, consultants who have a financial interest or employment that conflicts with services (including sponsored research) provided by Emory.
Any existing or proposed relationship, transaction or other event, which may raise a conflict of interest issue, is to be disclosed to the employee’s dean, director or vice president in writing to determine its appropriateness and to receive specific approval to maintain or proceed with such relationship, transaction or event.
</t>
        </r>
        <r>
          <rPr>
            <sz val="9"/>
            <color indexed="81"/>
            <rFont val="Tahoma"/>
            <family val="2"/>
          </rPr>
          <t xml:space="preserve">
</t>
        </r>
      </text>
    </comment>
    <comment ref="G67" authorId="0" shapeId="0" xr:uid="{98F36532-BB57-450B-ACAE-9BAB9FB5719C}">
      <text>
        <r>
          <rPr>
            <b/>
            <sz val="9"/>
            <color indexed="81"/>
            <rFont val="Tahoma"/>
            <family val="2"/>
          </rPr>
          <t xml:space="preserve">J.P. Morgan’s Single-Use Accounts (SUA) Program
This is an electronic card payment solution that enables us to make payment processes faster and more efficient. 
This is a voluntary payment solution that Emory is offering to expedite your payments.  
If you agree to participate in the program, we will convert your payment method to SUA. This means that you will get paid immediately upon invoice approval.
Emory does not charge any fee for this payment method however please check with your respective bank on the merchant exchange fee that they may charge which is generally 2.5% to 3%
The benefits to this program include: 
• Accelerated payments (i.e. payable upon invoice approval) that will help reduce days sales outstanding (DSO), improving cash flow for your Company
• Simplified process that eliminates check processing costs and helps reduce administration expense, account collections and follow-up
• Strengthens our business relationship
We are excited about the opportunity to improve processes for both of our organizations and to strengthen our business partnership. We are strongly committed to achieving 100% participation from our valued suppliers, such as you, with this program.
This is a great opportunity to partner with Emory University, JP Morgan Chase and our valued suppliers. We are enthused about this program and we hope you are too!
For additional questions, please contact J.P Morgan at 877-263-5184
</t>
        </r>
      </text>
    </comment>
    <comment ref="G79" authorId="0" shapeId="0" xr:uid="{D0BB4F09-CD9F-4E13-9958-F0EBB05BFDD6}">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Tran, Paul Anthony</author>
  </authors>
  <commentList>
    <comment ref="G12" authorId="0" shapeId="0" xr:uid="{853A62EF-A947-42D5-8999-88462BB98BAC}">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 ref="G64" authorId="0" shapeId="0" xr:uid="{42C271A0-8A12-497F-8D0A-FF57E8BCF6B4}">
      <text>
        <r>
          <rPr>
            <b/>
            <sz val="9"/>
            <color indexed="81"/>
            <rFont val="Tahoma"/>
            <family val="2"/>
          </rPr>
          <t xml:space="preserve">Emory requires its employees to avoid any business or financial relationship, transaction or event that may be viewed, internally or externally, as a conflict of interest between an employee and an outside party. As provided in the Emory By-laws, relations between Emory and contractors, consultants, vendors, suppliers and other third parties are to be maintained without any direct or indirect personal or financial benefit accruing to any employee of Emory or any member of the employee’s family.
Specific circumstances, which may constitute a conflict of interest, include, but are not limited to, the following:
Holding, either directly or indirectly, a position or financial interest* in an outside concern which provides services competitive with services rendered by Emory, or an outside concern from which Emory secures goods or services if the employee is involved in or may influence the ordering of such goods or services.
Competing, either directly or indirectly, with Emory in the purchase or sale of property or property rights, interests or services.
Disclosing or using non-public information obtained through Emory employment for personal profit or gain or for the profit or gain of an immediate family member.
Accepting gratuities or special favors, such as meals, airline tickets, hotel accommodations, entertainment, sporting event tickets, etc., from any outside concern that does, or is seeking to do business with Emory, or extending gratuities or special favors to employees of Emory, under circumstances which might reasonably be interpreted as an attempt to influence the employees in the performance of their duties. This does not include the acceptance of items of nominal or minor value ($40.00 or less) that are clearly tokens of respect or friendship and are not related to any particular transaction or activity of the university, nor does it include
business-related social events where the employee is representing the university’s interests.
Retaining, directly or indirectly, consultants who have a financial interest or employment that conflicts with services (including sponsored research) provided by Emory.
Any existing or proposed relationship, transaction or other event, which may raise a conflict of interest issue, is to be disclosed to the employee’s dean, director or vice president in writing to determine its appropriateness and to receive specific approval to maintain or proceed with such relationship, transaction or event.
</t>
        </r>
        <r>
          <rPr>
            <sz val="9"/>
            <color indexed="81"/>
            <rFont val="Tahoma"/>
            <family val="2"/>
          </rPr>
          <t xml:space="preserve">
</t>
        </r>
      </text>
    </comment>
    <comment ref="G67" authorId="0" shapeId="0" xr:uid="{D0B806A9-ADF7-44AC-AC1E-1E312A2183A0}">
      <text>
        <r>
          <rPr>
            <b/>
            <sz val="9"/>
            <color indexed="81"/>
            <rFont val="Tahoma"/>
            <family val="2"/>
          </rPr>
          <t xml:space="preserve">J.P. Morgan’s Single-Use Accounts (SUA) Program
This is an electronic card payment solution that enables us to make payment processes faster and more efficient. 
This is a voluntary payment solution that Emory is offering to expedite your payments.  
If you agree to participate in the program, we will convert your payment method to SUA. This means that you will get paid immediately upon invoice approval.
Emory does not charge any fee for this payment method however please check with your respective bank on the merchant exchange fee that they may charge which is generally 2.5% to 3%
The benefits to this program include: 
• Accelerated payments (i.e. payable upon invoice approval) that will help reduce days sales outstanding (DSO), improving cash flow for your Company
• Simplified process that eliminates check processing costs and helps reduce administration expense, account collections and follow-up
• Strengthens our business relationship
We are excited about the opportunity to improve processes for both of our organizations and to strengthen our business partnership. We are strongly committed to achieving 100% participation from our valued suppliers, such as you, with this program.
This is a great opportunity to partner with Emory University, JP Morgan Chase and our valued suppliers. We are enthused about this program and we hope you are too!
For additional questions, please contact J.P Morgan at 877-263-5184
</t>
        </r>
      </text>
    </comment>
    <comment ref="G79" authorId="0" shapeId="0" xr:uid="{93068347-EF02-43E5-B3BA-F91E62079B42}">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Tran, Paul Anthony</author>
  </authors>
  <commentList>
    <comment ref="G17" authorId="0" shapeId="0" xr:uid="{F794EECA-23FE-4045-9571-F41A2B1F2780}">
      <text>
        <r>
          <rPr>
            <b/>
            <sz val="9"/>
            <color indexed="81"/>
            <rFont val="Tahoma"/>
            <family val="2"/>
          </rPr>
          <t>Why is a DUNS number required?
A DUNS number is a special number issued by Dun &amp; Bradstreet to track a business so that information about that business can be reported to other institutions.
Having a DUNS number is a sign of credibility. It shows other businesses and institutions (i.e. banks) that you are serious about your business, and that your financial well being and corporate image are important. It is a sign that you intend to comply with business regulations, and are not afraid to make your company publicly viewable.
Having a DUNS number, and the optional credit file service offered by D&amp;B, will make it easier to apply for a loan or lines of credit. Banks and other companies can easily look up your company, get references, and make sure your company is on the “up and up” for faster approval.</t>
        </r>
      </text>
    </comment>
  </commentList>
</comments>
</file>

<file path=xl/sharedStrings.xml><?xml version="1.0" encoding="utf-8"?>
<sst xmlns="http://schemas.openxmlformats.org/spreadsheetml/2006/main" count="1378" uniqueCount="1063">
  <si>
    <t>NOTE TO SUPPLIER: Submission of this form does not authorize a supplier to provide goods or services to Emory University until the supplier is notified by Procurement.</t>
  </si>
  <si>
    <t>Contact Name:</t>
  </si>
  <si>
    <t>DBA Name, If Different:</t>
  </si>
  <si>
    <t>Contact Phone Number:</t>
  </si>
  <si>
    <t>Contact Email:</t>
  </si>
  <si>
    <t>Legal Mailing Address</t>
  </si>
  <si>
    <t>City:</t>
  </si>
  <si>
    <t>State:</t>
  </si>
  <si>
    <t>ZIP:</t>
  </si>
  <si>
    <t>Email:</t>
  </si>
  <si>
    <t>Phone:</t>
  </si>
  <si>
    <t>Method to Receive Orders:</t>
  </si>
  <si>
    <t>Certifications</t>
  </si>
  <si>
    <t>1. The number shown on this form is my correct taxpayer identification number (or I am waiting for a number to be issued to me).</t>
  </si>
  <si>
    <t>R</t>
  </si>
  <si>
    <t>DUNS Number:</t>
  </si>
  <si>
    <t>Address Line 1:</t>
  </si>
  <si>
    <t>Address Line 2:</t>
  </si>
  <si>
    <t>Under penalties of perjury, I certify by electronically signing below.</t>
  </si>
  <si>
    <t>Prerequisite Questions</t>
  </si>
  <si>
    <t>Individual</t>
  </si>
  <si>
    <t>Study Participant</t>
  </si>
  <si>
    <t>Y</t>
  </si>
  <si>
    <t>Legal Full Name:</t>
  </si>
  <si>
    <t>Banking Information</t>
  </si>
  <si>
    <t>Name of Receiving Bank:</t>
  </si>
  <si>
    <t>Routing Number:</t>
  </si>
  <si>
    <t>Account Number:</t>
  </si>
  <si>
    <t>Error Validation</t>
  </si>
  <si>
    <t>ZIP Code:</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</si>
  <si>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</si>
  <si>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</si>
  <si>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</si>
  <si>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</si>
  <si>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</si>
  <si>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</si>
  <si>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</si>
  <si>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</si>
  <si>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</si>
  <si>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</si>
  <si>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</si>
  <si>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</si>
  <si>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</si>
  <si>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</si>
  <si>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</si>
  <si>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</si>
  <si>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</si>
  <si>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</si>
  <si>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</si>
  <si>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</si>
  <si>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</si>
  <si>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</si>
  <si>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</si>
  <si>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</si>
  <si>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</si>
  <si>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</si>
  <si>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</si>
  <si>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</si>
  <si>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</si>
  <si>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</si>
  <si>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</si>
  <si>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</si>
  <si>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</si>
  <si>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</si>
  <si>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</si>
  <si>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</si>
  <si>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</si>
  <si>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</si>
  <si>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</si>
  <si>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</si>
  <si>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</si>
  <si>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</si>
  <si>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</si>
  <si>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</si>
  <si>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</si>
  <si>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</si>
  <si>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</si>
  <si>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</si>
  <si>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</si>
  <si>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</si>
  <si>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Remit to Address (Billing Address)</t>
  </si>
  <si>
    <t>Shipping Address</t>
  </si>
  <si>
    <t>l declare under penalty of perjury (under the laws of the United States of America) that the information provided on this form is true and correct.</t>
  </si>
  <si>
    <t>Select if you are a Company, Individual, or Study Participant:</t>
  </si>
  <si>
    <t>Company</t>
  </si>
  <si>
    <t>Are you a Canadian citizen or resident for tax purposes?</t>
  </si>
  <si>
    <t>Legal name that is the beneficial owner of payment received:</t>
  </si>
  <si>
    <t>Brief Description of Services/Activities provided to Emory University:</t>
  </si>
  <si>
    <r>
      <t xml:space="preserve">Please indicate if this payment relates </t>
    </r>
    <r>
      <rPr>
        <b/>
        <u/>
        <sz val="11"/>
        <color theme="1"/>
        <rFont val="Calibri"/>
        <family val="2"/>
        <scheme val="minor"/>
      </rPr>
      <t>solely</t>
    </r>
    <r>
      <rPr>
        <b/>
        <sz val="11"/>
        <color theme="1"/>
        <rFont val="Calibri"/>
        <family val="2"/>
        <scheme val="minor"/>
      </rPr>
      <t xml:space="preserve"> to the purchase of goods, inventory, equipment, materials or supplies, and/or related shipping charges:</t>
    </r>
  </si>
  <si>
    <t>No</t>
  </si>
  <si>
    <t>Under penalties of perjury, I declare that I have examined the information on this form and to the best of my knowledge and belief is true, correct, and complete.</t>
  </si>
  <si>
    <t>Address Line 3:</t>
  </si>
  <si>
    <t>Current Address</t>
  </si>
  <si>
    <t>Doing Business As (DBA) Name, If Different then Legal Name:</t>
  </si>
  <si>
    <t>We hereby authorize, with the signature below, Emory University Payment Services to deposit all payments into the above referenced account.</t>
  </si>
  <si>
    <t>ACH Payment Authorization</t>
  </si>
  <si>
    <t>4. My firm does not currently have any employees, vendors, or other types of contractual relationships in place with parties on the U.S. Department of Treasury Office of Foreign Assets Control Specially Designated National (SDN) List. This list can be found at the following URL: http://www.ustreas.gov/offices/enforcement/ofac/sdn/</t>
  </si>
  <si>
    <r>
      <rPr>
        <b/>
        <sz val="11"/>
        <color theme="1"/>
        <rFont val="Calibri"/>
        <family val="2"/>
        <scheme val="minor"/>
      </rPr>
      <t>FORM DESCRIPTION:</t>
    </r>
    <r>
      <rPr>
        <sz val="11"/>
        <color theme="1"/>
        <rFont val="Calibri"/>
        <family val="2"/>
        <scheme val="minor"/>
      </rPr>
      <t xml:space="preserve">
This form is used to establish or update a record within the Emory University Procurement system and meets the Federal requirements to request a taxpayer identification number (TIN), request certain certifications for Federal procurement reporting and claims for exemption, and internal requirements. Do not return this form to the IRS.</t>
    </r>
  </si>
  <si>
    <t>Preliminary Questions</t>
  </si>
  <si>
    <t>Authorized Signer's Phone Number:</t>
  </si>
  <si>
    <t>Authorized Signer's Title:</t>
  </si>
  <si>
    <t>Date of Signature:</t>
  </si>
  <si>
    <t>Bank Name:</t>
  </si>
  <si>
    <t>Routing/ABA Number (Domestic):</t>
  </si>
  <si>
    <t>SWIFT, BIC, BAC Code (International):</t>
  </si>
  <si>
    <t>Bank City:</t>
  </si>
  <si>
    <t>Name on Bank Account:</t>
  </si>
  <si>
    <t>City, State and Postal Code:</t>
  </si>
  <si>
    <t>Street Address:</t>
  </si>
  <si>
    <t>Wire Payment Authorization</t>
  </si>
  <si>
    <t>Country</t>
  </si>
  <si>
    <t>Primary Contact Phone Number:</t>
  </si>
  <si>
    <t>Primary Contact Email Address:</t>
  </si>
  <si>
    <t>Andorra</t>
  </si>
  <si>
    <t>United Arab Emirates</t>
  </si>
  <si>
    <t>Afghanistan</t>
  </si>
  <si>
    <t>Antigua and Barbuda</t>
  </si>
  <si>
    <t>Anguilla</t>
  </si>
  <si>
    <t>Albania</t>
  </si>
  <si>
    <t>Armenia</t>
  </si>
  <si>
    <t>Angola</t>
  </si>
  <si>
    <t>Antarctica</t>
  </si>
  <si>
    <t>Argentina</t>
  </si>
  <si>
    <t>American Samoa</t>
  </si>
  <si>
    <t>Austria</t>
  </si>
  <si>
    <t>Australia</t>
  </si>
  <si>
    <t>Aruba</t>
  </si>
  <si>
    <t>Azerbaijan</t>
  </si>
  <si>
    <t>Barbados</t>
  </si>
  <si>
    <t>Bangladesh</t>
  </si>
  <si>
    <t>Belgium</t>
  </si>
  <si>
    <t>Burkina Faso</t>
  </si>
  <si>
    <t>Bulgaria</t>
  </si>
  <si>
    <t>Bahrain</t>
  </si>
  <si>
    <t>Burundi</t>
  </si>
  <si>
    <t>Benin</t>
  </si>
  <si>
    <t>Saint Barthelemy</t>
  </si>
  <si>
    <t>Bermuda</t>
  </si>
  <si>
    <t>Brunei</t>
  </si>
  <si>
    <t>Bolivia</t>
  </si>
  <si>
    <t>Brazil</t>
  </si>
  <si>
    <t>Bhutan</t>
  </si>
  <si>
    <t>Bouvet Island</t>
  </si>
  <si>
    <t>Botswana</t>
  </si>
  <si>
    <t>Belarus</t>
  </si>
  <si>
    <t>Belize</t>
  </si>
  <si>
    <t>Canada</t>
  </si>
  <si>
    <t>Cocos (Keeling) Islands</t>
  </si>
  <si>
    <t>Central African Republic</t>
  </si>
  <si>
    <t>Switzerland</t>
  </si>
  <si>
    <t>Cote d'Ivoire</t>
  </si>
  <si>
    <t>Cook Islands</t>
  </si>
  <si>
    <t>Chile</t>
  </si>
  <si>
    <t>Cameroon</t>
  </si>
  <si>
    <t>China</t>
  </si>
  <si>
    <t>Colombia</t>
  </si>
  <si>
    <t>Costa Rica</t>
  </si>
  <si>
    <t>Cuba</t>
  </si>
  <si>
    <t>Cape Verde</t>
  </si>
  <si>
    <t>Curacao</t>
  </si>
  <si>
    <t>Christmas Island</t>
  </si>
  <si>
    <t>Cyprus</t>
  </si>
  <si>
    <t>Czech Republic</t>
  </si>
  <si>
    <t>Germany</t>
  </si>
  <si>
    <t>Djibouti</t>
  </si>
  <si>
    <t>Denmark</t>
  </si>
  <si>
    <t>Dominica</t>
  </si>
  <si>
    <t>Dominican Republic</t>
  </si>
  <si>
    <t>Algeria</t>
  </si>
  <si>
    <t>Ecuador</t>
  </si>
  <si>
    <t>Estonia</t>
  </si>
  <si>
    <t>Egypt</t>
  </si>
  <si>
    <t>Western Sahara</t>
  </si>
  <si>
    <t>Eritrea</t>
  </si>
  <si>
    <t>Spain</t>
  </si>
  <si>
    <t>Ethiopia</t>
  </si>
  <si>
    <t>Finland</t>
  </si>
  <si>
    <t>Fiji</t>
  </si>
  <si>
    <t>Falkland Islands (Islas Malvinas)</t>
  </si>
  <si>
    <t>Faroe Islands</t>
  </si>
  <si>
    <t>France</t>
  </si>
  <si>
    <t>Gabon</t>
  </si>
  <si>
    <t>United Kingdom</t>
  </si>
  <si>
    <t>Grenada</t>
  </si>
  <si>
    <t>Georgia</t>
  </si>
  <si>
    <t>French Guiana</t>
  </si>
  <si>
    <t>Guernsey</t>
  </si>
  <si>
    <t>Ghana</t>
  </si>
  <si>
    <t>Gibraltar</t>
  </si>
  <si>
    <t>Greenland</t>
  </si>
  <si>
    <t>Guinea</t>
  </si>
  <si>
    <t>Guadeloupe</t>
  </si>
  <si>
    <t>Equatorial Guinea</t>
  </si>
  <si>
    <t>Greece</t>
  </si>
  <si>
    <t>South Georgia and the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</si>
  <si>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</si>
  <si>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</si>
  <si>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</si>
  <si>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</si>
  <si>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</si>
  <si>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</si>
  <si>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</si>
  <si>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</si>
  <si>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</si>
  <si>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</si>
  <si>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</si>
  <si>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</si>
  <si>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</si>
  <si>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</si>
  <si>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</si>
  <si>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</si>
  <si>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</si>
  <si>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</si>
  <si>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</si>
  <si>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</si>
  <si>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</si>
  <si>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</si>
  <si>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</si>
  <si>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</si>
  <si>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</si>
  <si>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</si>
  <si>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</si>
  <si>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</si>
  <si>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</si>
  <si>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</si>
  <si>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</si>
  <si>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</si>
  <si>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</si>
  <si>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</si>
  <si>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</si>
  <si>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</si>
  <si>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</si>
  <si>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</si>
  <si>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</si>
  <si>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</si>
  <si>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</si>
  <si>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</si>
  <si>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</si>
  <si>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</si>
  <si>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</si>
  <si>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</si>
  <si>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</si>
  <si>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</si>
  <si>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</si>
  <si>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</si>
  <si>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</si>
  <si>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</si>
  <si>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</si>
  <si>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Burma</t>
  </si>
  <si>
    <t>Mongolia</t>
  </si>
  <si>
    <t>Macau</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</si>
  <si>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</si>
  <si>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</si>
  <si>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</si>
  <si>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</si>
  <si>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</si>
  <si>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</si>
  <si>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</si>
  <si>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</si>
  <si>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</si>
  <si>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</si>
  <si>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</si>
  <si>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</si>
  <si>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</si>
  <si>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</si>
  <si>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</si>
  <si>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</si>
  <si>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</si>
  <si>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</si>
  <si>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</si>
  <si>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</si>
  <si>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</si>
  <si>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</si>
  <si>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</si>
  <si>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</si>
  <si>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</si>
  <si>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</si>
  <si>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</si>
  <si>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</si>
  <si>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</si>
  <si>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</si>
  <si>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</si>
  <si>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</si>
  <si>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</si>
  <si>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</si>
  <si>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Gaza Strip</t>
  </si>
  <si>
    <t>West Bank</t>
  </si>
  <si>
    <t>Portugal</t>
  </si>
  <si>
    <t>Palau</t>
  </si>
  <si>
    <t>Paraguay</t>
  </si>
  <si>
    <t>Qatar</t>
  </si>
  <si>
    <t>Reunion</t>
  </si>
  <si>
    <t>Romania</t>
  </si>
  <si>
    <t>Serbia</t>
  </si>
  <si>
    <t>Russia</t>
  </si>
  <si>
    <t>Rwanda</t>
  </si>
  <si>
    <t>Saudi Arabia</t>
  </si>
  <si>
    <t>Solomon Islands</t>
  </si>
  <si>
    <t>Seychelles</t>
  </si>
  <si>
    <t>Sudan</t>
  </si>
  <si>
    <t>Sweden</t>
  </si>
  <si>
    <t>Singapore</t>
  </si>
  <si>
    <t>Saint Helena, Ascension, and Tristan da Cunha</t>
  </si>
  <si>
    <t>Slovenia</t>
  </si>
  <si>
    <t>Svalbard</t>
  </si>
  <si>
    <t>Slovakia</t>
  </si>
  <si>
    <t>Sierra Leone</t>
  </si>
  <si>
    <t>San Marino</t>
  </si>
  <si>
    <t>Senegal</t>
  </si>
  <si>
    <t>Somalia</t>
  </si>
  <si>
    <t>Suriname</t>
  </si>
  <si>
    <t>South Sudan</t>
  </si>
  <si>
    <t>Sao Tome and Principe</t>
  </si>
  <si>
    <t>El Salvador</t>
  </si>
  <si>
    <t>Sint Maarten</t>
  </si>
  <si>
    <t>Syria</t>
  </si>
  <si>
    <t>Swaziland</t>
  </si>
  <si>
    <t>Turks and Caicos Islands</t>
  </si>
  <si>
    <t>Chad</t>
  </si>
  <si>
    <t>French Southern and Antarctic Lands</t>
  </si>
  <si>
    <t>Togo</t>
  </si>
  <si>
    <t>Thailand</t>
  </si>
  <si>
    <t>Tajikistan</t>
  </si>
  <si>
    <t>Tokelau</t>
  </si>
  <si>
    <t>Timor-Leste</t>
  </si>
  <si>
    <t>Turkmenistan</t>
  </si>
  <si>
    <t>Tunisia</t>
  </si>
  <si>
    <t>Tonga</t>
  </si>
  <si>
    <t>Turkey</t>
  </si>
  <si>
    <t>Trinidad and Tobago</t>
  </si>
  <si>
    <t>Tuvalu</t>
  </si>
  <si>
    <t>Taiwan</t>
  </si>
  <si>
    <t>Tanzania</t>
  </si>
  <si>
    <t>Ukraine</t>
  </si>
  <si>
    <t>Uganda</t>
  </si>
  <si>
    <t>United States</t>
  </si>
  <si>
    <t>Uruguay</t>
  </si>
  <si>
    <t>Uzbekistan</t>
  </si>
  <si>
    <t>Holy See (Vatican City)</t>
  </si>
  <si>
    <t>Saint Vincent and the Grenadines</t>
  </si>
  <si>
    <t>Venezuela</t>
  </si>
  <si>
    <t>British Virgin Islands</t>
  </si>
  <si>
    <t>Virgin Islands</t>
  </si>
  <si>
    <t>Vietnam</t>
  </si>
  <si>
    <t>Vanuatu</t>
  </si>
  <si>
    <t>Wallis and Futuna</t>
  </si>
  <si>
    <t>Samoa</t>
  </si>
  <si>
    <t>Kosovo</t>
  </si>
  <si>
    <t>Yemen</t>
  </si>
  <si>
    <t>Mayotte</t>
  </si>
  <si>
    <t>South Africa</t>
  </si>
  <si>
    <t>Zambia</t>
  </si>
  <si>
    <t>Zimbabwe</t>
  </si>
  <si>
    <t>Countries where the use of IBAN is mandatory</t>
  </si>
  <si>
    <t>IBAN length</t>
  </si>
  <si>
    <t>IBAN examples</t>
  </si>
  <si>
    <t>AT611904300234573201</t>
  </si>
  <si>
    <t>BH67BMAG00001299123456</t>
  </si>
  <si>
    <t>BE68539007547034</t>
  </si>
  <si>
    <t>Bosnia-Hercegovina</t>
  </si>
  <si>
    <t>BA391290079401028494</t>
  </si>
  <si>
    <t>BG80BNBG96611020345678</t>
  </si>
  <si>
    <t>HR1210010051863000160</t>
  </si>
  <si>
    <t>CY17002001280000001200527600</t>
  </si>
  <si>
    <t>CZ6508000000192000145399</t>
  </si>
  <si>
    <t>DK5000400440116243</t>
  </si>
  <si>
    <t>EE382200221020145685</t>
  </si>
  <si>
    <t>FO6264600001631634</t>
  </si>
  <si>
    <t>FI2112345600000785</t>
  </si>
  <si>
    <t>FR1420041010050500013M02606</t>
  </si>
  <si>
    <t>GE29NB0000000101904917</t>
  </si>
  <si>
    <t>DE89370400440532013000</t>
  </si>
  <si>
    <t>GI75NWBK000000007099453</t>
  </si>
  <si>
    <t>GB29NWBK60161331926819</t>
  </si>
  <si>
    <t>GR16 01101250000000012300695</t>
  </si>
  <si>
    <t>GL8964710001000206</t>
  </si>
  <si>
    <t>GB57NWBK55504453178386</t>
  </si>
  <si>
    <t>HU42117730161111101800000000</t>
  </si>
  <si>
    <t>IS140159260076545510730339</t>
  </si>
  <si>
    <t>IE29AIBK93115212345678</t>
  </si>
  <si>
    <t>IT60X0542811101000000123456</t>
  </si>
  <si>
    <t>JO99HBHA4543333578295175367253</t>
  </si>
  <si>
    <t>KZ5590238934023248812</t>
  </si>
  <si>
    <t>KW81CBKU0000000000001234560101</t>
  </si>
  <si>
    <t>LV80BANK0000435195001</t>
  </si>
  <si>
    <t>LB62099900000001001901229114</t>
  </si>
  <si>
    <t>LI21088100002324013A A</t>
  </si>
  <si>
    <t>LT121000011101001000</t>
  </si>
  <si>
    <t>LU280019400644750000</t>
  </si>
  <si>
    <t>MK07250120000058984</t>
  </si>
  <si>
    <t>MT84MALT011000012345MTLCAST001S</t>
  </si>
  <si>
    <t>MD24AG000225100013104168</t>
  </si>
  <si>
    <t>MC5811222000010123456789030</t>
  </si>
  <si>
    <t>ME25505000012345678951</t>
  </si>
  <si>
    <t>NL91ABNA0417164300</t>
  </si>
  <si>
    <t>NO0212345678910</t>
  </si>
  <si>
    <t>Palestinian Territory</t>
  </si>
  <si>
    <t>PS92PALS000000000400123456702</t>
  </si>
  <si>
    <t>PL61109010140000071219812874</t>
  </si>
  <si>
    <t>PT50000201231234567890154</t>
  </si>
  <si>
    <t>QA01QNBA000000001234123412341</t>
  </si>
  <si>
    <t>RO49AAAA1B31007593840000</t>
  </si>
  <si>
    <t>SM86U0322509800000000270100</t>
  </si>
  <si>
    <t>SA0380000000608010167519</t>
  </si>
  <si>
    <t>SK3112000000198742637541</t>
  </si>
  <si>
    <t>SI56263300012039086</t>
  </si>
  <si>
    <t>ES9121000418450200051332</t>
  </si>
  <si>
    <t>SE4550000000058398257466</t>
  </si>
  <si>
    <t>CH9300762011623852957</t>
  </si>
  <si>
    <t>TN5910006035183598478831</t>
  </si>
  <si>
    <t>TR330006100519786457841326</t>
  </si>
  <si>
    <t>AE070331234567890123456</t>
  </si>
  <si>
    <t>AL47212110090000000235698741</t>
  </si>
  <si>
    <t>AZ21NABZ00000000137010001944</t>
  </si>
  <si>
    <t>BY13NBRB3600900000002Z00AB00</t>
  </si>
  <si>
    <t>BR9700360305000010009795493P1</t>
  </si>
  <si>
    <t>CR051202001026284066</t>
  </si>
  <si>
    <t>DO28BAGR00000001212453611324</t>
  </si>
  <si>
    <t>GT82TRAJ01020000001210029690</t>
  </si>
  <si>
    <t>IQ98NBIQ657453423456748</t>
  </si>
  <si>
    <t>IR580540105180021273113007</t>
  </si>
  <si>
    <t>IL620108000000099999999</t>
  </si>
  <si>
    <t>KZ86125KZT5004100100</t>
  </si>
  <si>
    <t>XK051212012345678906</t>
  </si>
  <si>
    <t>MR1300020001010000123456753</t>
  </si>
  <si>
    <t>MU17BOMM0101101030300200000MUR</t>
  </si>
  <si>
    <t>PK36SCBL0000001123456702</t>
  </si>
  <si>
    <t>ST68000100010051845310112</t>
  </si>
  <si>
    <t>RS35260005601001611379</t>
  </si>
  <si>
    <t>SC25SSCB11010000000000001497USD</t>
  </si>
  <si>
    <t>LC831090101400000712198128743156</t>
  </si>
  <si>
    <t>UA213996220000026007233566001</t>
  </si>
  <si>
    <t>VA59001123000012345678</t>
  </si>
  <si>
    <t>VG96VPVG0000012345678901</t>
  </si>
  <si>
    <t>TL380080012345678910157</t>
  </si>
  <si>
    <t>Bank Country/Territory:</t>
  </si>
  <si>
    <t>Country/Territory:</t>
  </si>
  <si>
    <t>AD1200012030200359100100</t>
  </si>
  <si>
    <t>IBAN Length Must be 20 Characters.
An IBAN example is AT611904300234573201</t>
  </si>
  <si>
    <t>IBAN Length Must be 22 Characters.
An IBAN example is BH67BMAG00001299123456</t>
  </si>
  <si>
    <t>IBAN Length Must be 16 Characters.
An IBAN example is BE68539007547034</t>
  </si>
  <si>
    <t>IBAN Length Must be 20 Characters.
An IBAN example is BA391290079401028494</t>
  </si>
  <si>
    <t>IBAN Length Must be 22 Characters.
An IBAN example is BG80BNBG96611020345678</t>
  </si>
  <si>
    <t>IBAN Length Must be 21 Characters.
An IBAN example is HR1210010051863000160</t>
  </si>
  <si>
    <t>IBAN Length Must be 28 Characters.
An IBAN example is CY17002001280000001200527600</t>
  </si>
  <si>
    <t>IBAN Length Must be 24 Characters.
An IBAN example is CZ6508000000192000145399</t>
  </si>
  <si>
    <t>IBAN Length Must be 18 Characters.
An IBAN example is DK5000400440116243</t>
  </si>
  <si>
    <t>IBAN Length Must be 20 Characters.
An IBAN example is EE382200221020145685</t>
  </si>
  <si>
    <t>IBAN Length Must be 18 Characters.
An IBAN example is FO6264600001631634</t>
  </si>
  <si>
    <t>IBAN Length Must be 18 Characters.
An IBAN example is FI2112345600000785</t>
  </si>
  <si>
    <t>IBAN Length Must be 27 Characters.
An IBAN example is FR1420041010050500013M02606</t>
  </si>
  <si>
    <t>IBAN Length Must be 22 Characters.
An IBAN example is GE29NB0000000101904917</t>
  </si>
  <si>
    <t>IBAN Length Must be 22 Characters.
An IBAN example is DE89370400440532013000</t>
  </si>
  <si>
    <t>IBAN Length Must be 23 Characters.
An IBAN example is GI75NWBK000000007099453</t>
  </si>
  <si>
    <t>IBAN Length Must be 22 Characters.
An IBAN example is GB29NWBK60161331926819</t>
  </si>
  <si>
    <t>IBAN Length Must be 27 Characters.
An IBAN example is GR16 01101250000000012300695</t>
  </si>
  <si>
    <t>IBAN Length Must be 18 Characters.
An IBAN example is GL8964710001000206</t>
  </si>
  <si>
    <t>IBAN Length Must be 22 Characters.
An IBAN example is GB57NWBK55504453178386</t>
  </si>
  <si>
    <t>IBAN Length Must be 28 Characters.
An IBAN example is HU42117730161111101800000000</t>
  </si>
  <si>
    <t>IBAN Length Must be 26 Characters.
An IBAN example is IS140159260076545510730339</t>
  </si>
  <si>
    <t>IBAN Length Must be 22 Characters.
An IBAN example is IE29AIBK93115212345678</t>
  </si>
  <si>
    <t>IBAN Length Must be 27 Characters.
An IBAN example is IT60X0542811101000000123456</t>
  </si>
  <si>
    <t>IBAN Length Must be 30 Characters.
An IBAN example is JO99HBHA4543333578295175367253</t>
  </si>
  <si>
    <t>IBAN Length Must be 20 Characters.
An IBAN example is KZ5590238934023248812</t>
  </si>
  <si>
    <t>IBAN Length Must be 30 Characters.
An IBAN example is KW81CBKU0000000000001234560101</t>
  </si>
  <si>
    <t>IBAN Length Must be 21 Characters.
An IBAN example is LV80BANK0000435195001</t>
  </si>
  <si>
    <t>IBAN Length Must be 28 Characters.
An IBAN example is LB62099900000001001901229114</t>
  </si>
  <si>
    <t>IBAN Length Must be 21 Characters.
An IBAN example is LI21088100002324013A A</t>
  </si>
  <si>
    <t>IBAN Length Must be 20 Characters.
An IBAN example is LT121000011101001000</t>
  </si>
  <si>
    <t>IBAN Length Must be 20 Characters.
An IBAN example is LU280019400644750000</t>
  </si>
  <si>
    <t>IBAN Length Must be 19 Characters.
An IBAN example is MK07250120000058984</t>
  </si>
  <si>
    <t>IBAN Length Must be 31 Characters.
An IBAN example is MT84MALT011000012345MTLCAST001S</t>
  </si>
  <si>
    <t>IBAN Length Must be 24 Characters.
An IBAN example is MD24AG000225100013104168</t>
  </si>
  <si>
    <t>IBAN Length Must be 27 Characters.
An IBAN example is MC5811222000010123456789030</t>
  </si>
  <si>
    <t>IBAN Length Must be 22 Characters.
An IBAN example is ME25505000012345678951</t>
  </si>
  <si>
    <t>IBAN Length Must be 18 Characters.
An IBAN example is NL91ABNA0417164300</t>
  </si>
  <si>
    <t>IBAN Length Must be 15 Characters.
An IBAN example is NO0212345678910</t>
  </si>
  <si>
    <t>IBAN Length Must be 29 Characters.
An IBAN example is PS92PALS000000000400123456702</t>
  </si>
  <si>
    <t>IBAN Length Must be 28 Characters.
An IBAN example is PL61109010140000071219812874</t>
  </si>
  <si>
    <t>IBAN Length Must be 25 Characters.
An IBAN example is PT50000201231234567890154</t>
  </si>
  <si>
    <t>IBAN Length Must be 29 Characters.
An IBAN example is QA01QNBA000000001234123412341</t>
  </si>
  <si>
    <t>IBAN Length Must be 24 Characters.
An IBAN example is RO49AAAA1B31007593840000</t>
  </si>
  <si>
    <t>IBAN Length Must be 27 Characters.
An IBAN example is SM86U0322509800000000270100</t>
  </si>
  <si>
    <t>IBAN Length Must be 24 Characters.
An IBAN example is SA0380000000608010167519</t>
  </si>
  <si>
    <t>IBAN Length Must be 24 Characters.
An IBAN example is SK3112000000198742637541</t>
  </si>
  <si>
    <t>IBAN Length Must be 19 Characters.
An IBAN example is SI56263300012039086</t>
  </si>
  <si>
    <t>IBAN Length Must be 24 Characters.
An IBAN example is ES9121000418450200051332</t>
  </si>
  <si>
    <t>IBAN Length Must be 24 Characters.
An IBAN example is SE4550000000058398257466</t>
  </si>
  <si>
    <t>IBAN Length Must be 21 Characters.
An IBAN example is CH9300762011623852957</t>
  </si>
  <si>
    <t>IBAN Length Must be 24 Characters.
An IBAN example is TN5910006035183598478831</t>
  </si>
  <si>
    <t>IBAN Length Must be 26 Characters.
An IBAN example is TR330006100519786457841326</t>
  </si>
  <si>
    <t>IBAN Length Must be 23 Characters.
An IBAN example is AE070331234567890123456</t>
  </si>
  <si>
    <t>IBAN Length Must be 28 Characters.
An IBAN example is AL47212110090000000235698741</t>
  </si>
  <si>
    <t>IBAN Length Must be 28 Characters.
An IBAN example is AZ21NABZ00000000137010001944</t>
  </si>
  <si>
    <t>IBAN Length Must be 28 Characters.
An IBAN example is BY13NBRB3600900000002Z00AB00</t>
  </si>
  <si>
    <t>IBAN Length Must be 29 Characters.
An IBAN example is BR9700360305000010009795493P1</t>
  </si>
  <si>
    <t>IBAN Length Must be 21 Characters.
An IBAN example is CR051202001026284066</t>
  </si>
  <si>
    <t>IBAN Length Must be 28 Characters.
An IBAN example is DO28BAGR00000001212453611324</t>
  </si>
  <si>
    <t>IBAN Length Must be 28 Characters.
An IBAN example is GT82TRAJ01020000001210029690</t>
  </si>
  <si>
    <t>IBAN Length Must be 23 Characters.
An IBAN example is IQ98NBIQ657453423456748</t>
  </si>
  <si>
    <t>IBAN Length Must be 26 Characters.
An IBAN example is IR580540105180021273113007</t>
  </si>
  <si>
    <t>IBAN Length Must be 23 Characters.
An IBAN example is IL620108000000099999999</t>
  </si>
  <si>
    <t>IBAN Length Must be 20 Characters.
An IBAN example is KZ86125KZT5004100100</t>
  </si>
  <si>
    <t>IBAN Length Must be 20 Characters.
An IBAN example is XK051212012345678906</t>
  </si>
  <si>
    <t>IBAN Length Must be 27 Characters.
An IBAN example is MR1300020001010000123456753</t>
  </si>
  <si>
    <t>IBAN Length Must be 30 Characters.
An IBAN example is MU17BOMM0101101030300200000MUR</t>
  </si>
  <si>
    <t>IBAN Length Must be 24 Characters.
An IBAN example is PK36SCBL0000001123456702</t>
  </si>
  <si>
    <t>IBAN Length Must be 25 Characters.
An IBAN example is ST68000100010051845310112</t>
  </si>
  <si>
    <t>IBAN Length Must be 22 Characters.
An IBAN example is RS35260005601001611379</t>
  </si>
  <si>
    <t>IBAN Length Must be 31 Characters.
An IBAN example is SC25SSCB11010000000000001497USD</t>
  </si>
  <si>
    <t>IBAN Length Must be 32 Characters.
An IBAN example is LC831090101400000712198128743156</t>
  </si>
  <si>
    <t>IBAN Length Must be 29 Characters.
An IBAN example is UA213996220000026007233566001</t>
  </si>
  <si>
    <t>IBAN Length Must be 22 Characters.
An IBAN example is VA59001123000012345678</t>
  </si>
  <si>
    <t>IBAN Length Must be 24 Characters.
An IBAN example is VG96VPVG0000012345678901</t>
  </si>
  <si>
    <t>IBAN Length Must be 23 Characters.
An IBAN example is TL380080012345678910157</t>
  </si>
  <si>
    <t>Australian Dollar</t>
  </si>
  <si>
    <t>AUD</t>
  </si>
  <si>
    <t>6-digit BSB (Bank/State/Branch) routing code required</t>
  </si>
  <si>
    <t>Brazilian Real</t>
  </si>
  <si>
    <t>BRL</t>
  </si>
  <si>
    <t>Account number + sort code (6 digits) or IBAN can be used within the U.K.</t>
  </si>
  <si>
    <t>Canadian Dollar</t>
  </si>
  <si>
    <t xml:space="preserve">CAD </t>
  </si>
  <si>
    <t>Include 9-digit Canadian transit number</t>
  </si>
  <si>
    <t>GTQ</t>
  </si>
  <si>
    <t>Payment to Individuals are not permitted</t>
  </si>
  <si>
    <t>Indian Rupee</t>
  </si>
  <si>
    <t>INR</t>
  </si>
  <si>
    <t>Israeli Shekel</t>
  </si>
  <si>
    <t>ILS</t>
  </si>
  <si>
    <t>KES</t>
  </si>
  <si>
    <t>Beneficiary name, telephone (+ Country Code) and full address</t>
  </si>
  <si>
    <t>Korean Won</t>
  </si>
  <si>
    <t>KRW</t>
  </si>
  <si>
    <t>Include Govt national ID, tax ID/business registration or residence permit number</t>
  </si>
  <si>
    <t>Mexican Peso</t>
  </si>
  <si>
    <t>MXN</t>
  </si>
  <si>
    <t>The 18- Digit CLABE account number for credit to all depository accounts in Mexico</t>
  </si>
  <si>
    <t>South African Rand</t>
  </si>
  <si>
    <t>ZAR</t>
  </si>
  <si>
    <t>Taiwan Dollar</t>
  </si>
  <si>
    <t>TWD</t>
  </si>
  <si>
    <t>Thai Baht</t>
  </si>
  <si>
    <t>THB</t>
  </si>
  <si>
    <t>Beneficiary name, address, tax ID and telephone number (+ Country Code)</t>
  </si>
  <si>
    <t>Zambian Kwacha</t>
  </si>
  <si>
    <t>ZMW</t>
  </si>
  <si>
    <t>Branch code required (bank code, area code and bank branch code)
Full beneficiary address recommended</t>
  </si>
  <si>
    <t>Need 6-Digit transit number or BIC and beneficiary address
Need beneficiary contact details (telephone and email address)</t>
  </si>
  <si>
    <t>South Korea</t>
  </si>
  <si>
    <t>Beneficiary bank branch code and name
Beneficiary name, telephone (+ Country Code) and full address</t>
  </si>
  <si>
    <t>GBP</t>
  </si>
  <si>
    <t>Payment Currency:</t>
  </si>
  <si>
    <t>Does your bank require an intermediary bank for processing final payment?</t>
  </si>
  <si>
    <t>IBAN Length Must be 22 Characters.
An IBAN example is GB57NWBK55504453178386
An IBAN example is JE68ABNA0350917C000978</t>
  </si>
  <si>
    <t>IBAN Length Must be 22 Characters.
An IBAN example is GB57NWBK55504453178386
An IBAN example is IM07MIDL40193872448696</t>
  </si>
  <si>
    <t>Bahamas</t>
  </si>
  <si>
    <t>Congo</t>
  </si>
  <si>
    <t>Gambia</t>
  </si>
  <si>
    <t>North Korea</t>
  </si>
  <si>
    <t>Micronesia</t>
  </si>
  <si>
    <t>State</t>
  </si>
  <si>
    <t>Payment Terms</t>
  </si>
  <si>
    <t>Countries</t>
  </si>
  <si>
    <t>Combined</t>
  </si>
  <si>
    <t>Additional Information</t>
  </si>
  <si>
    <t>Agencia number (Bank Branch Number) 3-7 digits
14-Digit CJNP (Tax Payer ID) for corporations or 9-Digit CPF for individuals
Beneficiary name, telephone (+ Country Code), full address and email</t>
  </si>
  <si>
    <t>Details of correspondent bank if in Palestine
Bank number and branch number also required
Swift option A (BIC) must be used in all relevant fields to avoid processing delays</t>
  </si>
  <si>
    <t>Bank number and branch number also required
Swift option A (BIC) must be used in all relevant fields to avoid processing delays</t>
  </si>
  <si>
    <t>Provide an Indian Financial Systems Code (IFSC Code - 11 Characters)
Provide a Foreign Inward Remittance Certificate (FIRC) if required by Beneficiary Bank</t>
  </si>
  <si>
    <t>Currency</t>
  </si>
  <si>
    <t>ISO</t>
  </si>
  <si>
    <t>Symbol</t>
  </si>
  <si>
    <t>United States Dollar</t>
  </si>
  <si>
    <t>USD</t>
  </si>
  <si>
    <t>$</t>
  </si>
  <si>
    <t>USD - United States Dollar ($)</t>
  </si>
  <si>
    <t>UAE Dirham</t>
  </si>
  <si>
    <t>AED</t>
  </si>
  <si>
    <t>د.إ</t>
  </si>
  <si>
    <t>AED - UAE Dirham (د.إ)</t>
  </si>
  <si>
    <t>Albanian Lek</t>
  </si>
  <si>
    <t>ALL</t>
  </si>
  <si>
    <t>L</t>
  </si>
  <si>
    <t>ALL - Albanian Lek (L)</t>
  </si>
  <si>
    <t>Neth Antilles Guilder</t>
  </si>
  <si>
    <t>ANG</t>
  </si>
  <si>
    <t>NAƒ</t>
  </si>
  <si>
    <t>ANG - Neth Antilles Guilder (NAƒ)</t>
  </si>
  <si>
    <t>Argentine Peso</t>
  </si>
  <si>
    <t>ARS</t>
  </si>
  <si>
    <t>ARS - Argentine Peso ($)</t>
  </si>
  <si>
    <t>AUD - Australian Dollar ($)</t>
  </si>
  <si>
    <t>Aruba Florin</t>
  </si>
  <si>
    <t>AWG</t>
  </si>
  <si>
    <t>ƒ</t>
  </si>
  <si>
    <t>AWG - Aruba Florin (ƒ)</t>
  </si>
  <si>
    <t>Barbados Dollar</t>
  </si>
  <si>
    <t>BBD</t>
  </si>
  <si>
    <t>BBD - Barbados Dollar (BBD)</t>
  </si>
  <si>
    <t>Bangladesh Taka</t>
  </si>
  <si>
    <t>BDT</t>
  </si>
  <si>
    <t>Tk</t>
  </si>
  <si>
    <t>BDT - Bangladesh Taka (Tk)</t>
  </si>
  <si>
    <t>Bulgarian Lev</t>
  </si>
  <si>
    <t>BGN</t>
  </si>
  <si>
    <t>лв</t>
  </si>
  <si>
    <t>BGN - Bulgarian Lev (лв)</t>
  </si>
  <si>
    <t>Bahraini Dinar</t>
  </si>
  <si>
    <t>BHD</t>
  </si>
  <si>
    <t>.د.ب</t>
  </si>
  <si>
    <t>BHD - Bahraini Dinar (.د.ب)</t>
  </si>
  <si>
    <t>Burundi Franc</t>
  </si>
  <si>
    <t>BIF</t>
  </si>
  <si>
    <t>FBu</t>
  </si>
  <si>
    <t>BIF - Burundi Franc (FBu)</t>
  </si>
  <si>
    <t>Bermuda Dollar</t>
  </si>
  <si>
    <t>BMD</t>
  </si>
  <si>
    <t>BD$</t>
  </si>
  <si>
    <t>BMD - Bermuda Dollar (BD$)</t>
  </si>
  <si>
    <t>Brunei Dollar</t>
  </si>
  <si>
    <t>BND</t>
  </si>
  <si>
    <t>B$</t>
  </si>
  <si>
    <t>BND - Brunei Dollar (B$)</t>
  </si>
  <si>
    <t>Bolivian Boliviano</t>
  </si>
  <si>
    <t>BOB</t>
  </si>
  <si>
    <t>Bs</t>
  </si>
  <si>
    <t>BOB - Bolivian Boliviano (Bs)</t>
  </si>
  <si>
    <t>R$</t>
  </si>
  <si>
    <t>BRL - Brazilian Real (R$)</t>
  </si>
  <si>
    <t>Bahamian Dollar</t>
  </si>
  <si>
    <t>BSD</t>
  </si>
  <si>
    <t>BSD - Bahamian Dollar (B$)</t>
  </si>
  <si>
    <t>Bhutan Ngultrum</t>
  </si>
  <si>
    <t>BTN</t>
  </si>
  <si>
    <t>Nu.</t>
  </si>
  <si>
    <t>BTN - Bhutan Ngultrum (Nu.)</t>
  </si>
  <si>
    <t>Botswana Pula</t>
  </si>
  <si>
    <t>BWP</t>
  </si>
  <si>
    <t>P</t>
  </si>
  <si>
    <t>BWP - Botswana Pula (P)</t>
  </si>
  <si>
    <t>Belarus Ruble</t>
  </si>
  <si>
    <t>BYR</t>
  </si>
  <si>
    <t>Br</t>
  </si>
  <si>
    <t>BYR - Belarus Ruble (Br)</t>
  </si>
  <si>
    <t>Belize Dollar</t>
  </si>
  <si>
    <t>BZD</t>
  </si>
  <si>
    <t>BZ$</t>
  </si>
  <si>
    <t>BZD - Belize Dollar (BZ$)</t>
  </si>
  <si>
    <t>CAD</t>
  </si>
  <si>
    <t>C$</t>
  </si>
  <si>
    <t>CAD - Canadian Dollar (C$)</t>
  </si>
  <si>
    <t>Swiss Franc</t>
  </si>
  <si>
    <t>CHF</t>
  </si>
  <si>
    <t>CHF - Swiss Franc (CHF)</t>
  </si>
  <si>
    <t>Chilean Peso</t>
  </si>
  <si>
    <t>CLP</t>
  </si>
  <si>
    <t>CLP - Chilean Peso ($)</t>
  </si>
  <si>
    <t>Chinese Yuan</t>
  </si>
  <si>
    <t>CNY</t>
  </si>
  <si>
    <t>¥</t>
  </si>
  <si>
    <t>CNY - Chinese Yuan (¥)</t>
  </si>
  <si>
    <t>Colombian Peso</t>
  </si>
  <si>
    <t>COP</t>
  </si>
  <si>
    <t>COP - Colombian Peso ($)</t>
  </si>
  <si>
    <t>Costa Rica Colon</t>
  </si>
  <si>
    <t>CRC</t>
  </si>
  <si>
    <t>₡</t>
  </si>
  <si>
    <t>CRC - Costa Rica Colon (₡)</t>
  </si>
  <si>
    <t>Cuban Peso</t>
  </si>
  <si>
    <t>CUP</t>
  </si>
  <si>
    <t>$MN</t>
  </si>
  <si>
    <t>CUP - Cuban Peso ($MN)</t>
  </si>
  <si>
    <t>Cape Verde Escudo</t>
  </si>
  <si>
    <t>CVE</t>
  </si>
  <si>
    <t>Esc</t>
  </si>
  <si>
    <t>CVE - Cape Verde Escudo (Esc)</t>
  </si>
  <si>
    <t>Czech Koruna</t>
  </si>
  <si>
    <t>CZK</t>
  </si>
  <si>
    <t>Kč</t>
  </si>
  <si>
    <t>CZK - Czech Koruna (Kč)</t>
  </si>
  <si>
    <t>Djibouti Franc</t>
  </si>
  <si>
    <t>DJF</t>
  </si>
  <si>
    <t>Fdj</t>
  </si>
  <si>
    <t>DJF - Djibouti Franc (Fdj)</t>
  </si>
  <si>
    <t>Danish Krone</t>
  </si>
  <si>
    <t>DKK</t>
  </si>
  <si>
    <t>kr</t>
  </si>
  <si>
    <t>DKK - Danish Krone (kr)</t>
  </si>
  <si>
    <t>Dominican Peso</t>
  </si>
  <si>
    <t>DOP</t>
  </si>
  <si>
    <t>RD$</t>
  </si>
  <si>
    <t>DOP - Dominican Peso (RD$)</t>
  </si>
  <si>
    <t>Algerian Dinar</t>
  </si>
  <si>
    <t>DZD</t>
  </si>
  <si>
    <t>دج</t>
  </si>
  <si>
    <t>DZD - Algerian Dinar (دج)</t>
  </si>
  <si>
    <t>Estonian Kroon</t>
  </si>
  <si>
    <t>EEK</t>
  </si>
  <si>
    <t>EEK - Estonian Kroon (EEK)</t>
  </si>
  <si>
    <t>Egyptian Pound</t>
  </si>
  <si>
    <t>EGP</t>
  </si>
  <si>
    <t>ج.م</t>
  </si>
  <si>
    <t>EGP - Egyptian Pound (ج.م)</t>
  </si>
  <si>
    <t>Ethiopian Birr</t>
  </si>
  <si>
    <t>ETB</t>
  </si>
  <si>
    <t>ETB - Ethiopian Birr (Br)</t>
  </si>
  <si>
    <t>Euro</t>
  </si>
  <si>
    <t>EUR</t>
  </si>
  <si>
    <t>€</t>
  </si>
  <si>
    <t>EUR - Euro (€)</t>
  </si>
  <si>
    <t>Fiji Dollar</t>
  </si>
  <si>
    <t>FJD</t>
  </si>
  <si>
    <t>FJ$</t>
  </si>
  <si>
    <t>FJD - Fiji Dollar (FJ$)</t>
  </si>
  <si>
    <t>Falkland Islands Pound</t>
  </si>
  <si>
    <t>FKP</t>
  </si>
  <si>
    <t>£</t>
  </si>
  <si>
    <t>FKP - Falkland Islands Pound (£)</t>
  </si>
  <si>
    <t>British Pound</t>
  </si>
  <si>
    <t>GBP - British Pound (£)</t>
  </si>
  <si>
    <t>Ghanaian Cedi</t>
  </si>
  <si>
    <t>GHS</t>
  </si>
  <si>
    <t>GHS - Ghanaian Cedi (GHS)</t>
  </si>
  <si>
    <t>Gambian Dalasi</t>
  </si>
  <si>
    <t>GMD</t>
  </si>
  <si>
    <t>D</t>
  </si>
  <si>
    <t>GMD - Gambian Dalasi (D)</t>
  </si>
  <si>
    <t>Guinea Franc</t>
  </si>
  <si>
    <t>GNF</t>
  </si>
  <si>
    <t>FG</t>
  </si>
  <si>
    <t>GNF - Guinea Franc (FG)</t>
  </si>
  <si>
    <t>Guatemala Quetzal</t>
  </si>
  <si>
    <t>Q</t>
  </si>
  <si>
    <t>GTQ - Guatemala Quetzal (Q)</t>
  </si>
  <si>
    <t>Guyana Dollar</t>
  </si>
  <si>
    <t>GYD</t>
  </si>
  <si>
    <t>GY$</t>
  </si>
  <si>
    <t>GYD - Guyana Dollar (GY$)</t>
  </si>
  <si>
    <t>Hong Kong Dollar</t>
  </si>
  <si>
    <t>HKD</t>
  </si>
  <si>
    <t>HK$</t>
  </si>
  <si>
    <t>HKD - Hong Kong Dollar (HK$)</t>
  </si>
  <si>
    <t>Honduras Lempira</t>
  </si>
  <si>
    <t>HNL</t>
  </si>
  <si>
    <t>HNL - Honduras Lempira (L)</t>
  </si>
  <si>
    <t>Croatian Kuna</t>
  </si>
  <si>
    <t>HRK</t>
  </si>
  <si>
    <t>kn</t>
  </si>
  <si>
    <t>HRK - Croatian Kuna (kn)</t>
  </si>
  <si>
    <t>Haiti Gourde</t>
  </si>
  <si>
    <t>HTG</t>
  </si>
  <si>
    <t>HTG - Haiti Gourde ()</t>
  </si>
  <si>
    <t>Hungarian Forint</t>
  </si>
  <si>
    <t>HUF</t>
  </si>
  <si>
    <t>Ft</t>
  </si>
  <si>
    <t>HUF - Hungarian Forint (Ft)</t>
  </si>
  <si>
    <t>Indonesian Rupiah</t>
  </si>
  <si>
    <t>IDR</t>
  </si>
  <si>
    <t>Rp</t>
  </si>
  <si>
    <t>IDR - Indonesian Rupiah (Rp)</t>
  </si>
  <si>
    <t>₪</t>
  </si>
  <si>
    <t>ILS - Israeli Shekel (₪)</t>
  </si>
  <si>
    <t>Rs.</t>
  </si>
  <si>
    <t>INR - Indian Rupee (Rs.)</t>
  </si>
  <si>
    <t>Iraqi Dinar</t>
  </si>
  <si>
    <t>IQD</t>
  </si>
  <si>
    <t>ع.د</t>
  </si>
  <si>
    <t>IQD - Iraqi Dinar (ع.د)</t>
  </si>
  <si>
    <t>Iran Rial</t>
  </si>
  <si>
    <t>IRR</t>
  </si>
  <si>
    <t>IRR - Iran Rial ()</t>
  </si>
  <si>
    <t>Iceland Krona</t>
  </si>
  <si>
    <t>ISK</t>
  </si>
  <si>
    <t>ISK - Iceland Krona (kr)</t>
  </si>
  <si>
    <t>Jordanian Dinar</t>
  </si>
  <si>
    <t>JOD</t>
  </si>
  <si>
    <t>JOD - Jordanian Dinar (JOD)</t>
  </si>
  <si>
    <t>Japanese Yen</t>
  </si>
  <si>
    <t>JPY</t>
  </si>
  <si>
    <t>JPY - Japanese Yen (¥)</t>
  </si>
  <si>
    <t>Kenyan Shilling</t>
  </si>
  <si>
    <t>KSh</t>
  </si>
  <si>
    <t>KES - Kenyan Shilling (KSh)</t>
  </si>
  <si>
    <t>Kyrgyzstan Som</t>
  </si>
  <si>
    <t>KGS</t>
  </si>
  <si>
    <t>KGS - Kyrgyzstan Som (KGS)</t>
  </si>
  <si>
    <t>Cambodia Riel</t>
  </si>
  <si>
    <t>KHR</t>
  </si>
  <si>
    <t>KHR - Cambodia Riel (KHR)</t>
  </si>
  <si>
    <t>Comoros Franc</t>
  </si>
  <si>
    <t>KMF</t>
  </si>
  <si>
    <t>KMF - Comoros Franc (KMF)</t>
  </si>
  <si>
    <t>North Korean Won</t>
  </si>
  <si>
    <t>KPW</t>
  </si>
  <si>
    <t>₩</t>
  </si>
  <si>
    <t>KPW - North Korean Won (₩)</t>
  </si>
  <si>
    <t>KRW - Korean Won (₩)</t>
  </si>
  <si>
    <t>Kuwaiti Dinar</t>
  </si>
  <si>
    <t>KWD</t>
  </si>
  <si>
    <t>د.ك</t>
  </si>
  <si>
    <t>KWD - Kuwaiti Dinar (د.ك)</t>
  </si>
  <si>
    <t>Cayman Islands Dollar</t>
  </si>
  <si>
    <t>KYD</t>
  </si>
  <si>
    <t>KYD - Cayman Islands Dollar ($)</t>
  </si>
  <si>
    <t>Kazakhstan Tenge</t>
  </si>
  <si>
    <t>KZT</t>
  </si>
  <si>
    <t>KZT - Kazakhstan Tenge (KZT)</t>
  </si>
  <si>
    <t>Sri Lanka Rupee</t>
  </si>
  <si>
    <t>LKR</t>
  </si>
  <si>
    <t>ரூ</t>
  </si>
  <si>
    <t>LKR - Sri Lanka Rupee (ரூ)</t>
  </si>
  <si>
    <t>Moroccan Dirham</t>
  </si>
  <si>
    <t>MAD</t>
  </si>
  <si>
    <t>د.م.</t>
  </si>
  <si>
    <t>MAD - Moroccan Dirham (د.م.)</t>
  </si>
  <si>
    <t>Moldovan Leu</t>
  </si>
  <si>
    <t>MDL</t>
  </si>
  <si>
    <t>MDL - Moldovan Leu (MDL)</t>
  </si>
  <si>
    <t>Macedonian Denar</t>
  </si>
  <si>
    <t>MKD</t>
  </si>
  <si>
    <t>MKD - Macedonian Denar (MKD)</t>
  </si>
  <si>
    <t>Myanmar Kyat</t>
  </si>
  <si>
    <t>MMK</t>
  </si>
  <si>
    <t>K</t>
  </si>
  <si>
    <t>MMK - Myanmar Kyat (K)</t>
  </si>
  <si>
    <t>Mongolian Tugrik</t>
  </si>
  <si>
    <t>MNT</t>
  </si>
  <si>
    <t>₮</t>
  </si>
  <si>
    <t>MNT - Mongolian Tugrik (₮)</t>
  </si>
  <si>
    <t>Macau Pataca</t>
  </si>
  <si>
    <t>MOP</t>
  </si>
  <si>
    <t>MOP - Macau Pataca ($)</t>
  </si>
  <si>
    <t>Mauritania Ougulya</t>
  </si>
  <si>
    <t>MRO</t>
  </si>
  <si>
    <t>UM</t>
  </si>
  <si>
    <t>MRO - Mauritania Ougulya (UM)</t>
  </si>
  <si>
    <t>Mauritius Rupee</t>
  </si>
  <si>
    <t>MUR</t>
  </si>
  <si>
    <t>₨</t>
  </si>
  <si>
    <t>MUR - Mauritius Rupee (₨)</t>
  </si>
  <si>
    <t>Maldives Rufiyaa</t>
  </si>
  <si>
    <t>MVR</t>
  </si>
  <si>
    <t>Rf</t>
  </si>
  <si>
    <t>MVR - Maldives Rufiyaa (Rf)</t>
  </si>
  <si>
    <t>Malawi Kwacha</t>
  </si>
  <si>
    <t>MWK</t>
  </si>
  <si>
    <t>MK</t>
  </si>
  <si>
    <t>MWK - Malawi Kwacha (MK)</t>
  </si>
  <si>
    <t>MXN - Mexican Peso ($)</t>
  </si>
  <si>
    <t>Malaysian Ringgit</t>
  </si>
  <si>
    <t>MYR</t>
  </si>
  <si>
    <t>RM</t>
  </si>
  <si>
    <t>MYR - Malaysian Ringgit (RM)</t>
  </si>
  <si>
    <t>Namibian Dollar</t>
  </si>
  <si>
    <t>NAD</t>
  </si>
  <si>
    <t>N$</t>
  </si>
  <si>
    <t>NAD - Namibian Dollar (N$)</t>
  </si>
  <si>
    <t>Nigerian Naira</t>
  </si>
  <si>
    <t>NGN</t>
  </si>
  <si>
    <t>₦</t>
  </si>
  <si>
    <t>NGN - Nigerian Naira (₦)</t>
  </si>
  <si>
    <t>Nicaragua Cordoba</t>
  </si>
  <si>
    <t>NIO</t>
  </si>
  <si>
    <t>NIO - Nicaragua Cordoba (C$)</t>
  </si>
  <si>
    <t>Norwegian Krone</t>
  </si>
  <si>
    <t>NOK</t>
  </si>
  <si>
    <t>NOK - Norwegian Krone (kr)</t>
  </si>
  <si>
    <t>Nepalese Rupee</t>
  </si>
  <si>
    <t>NPR</t>
  </si>
  <si>
    <t>NPR - Nepalese Rupee (₨)</t>
  </si>
  <si>
    <t>New Zealand Dollar</t>
  </si>
  <si>
    <t>NZD</t>
  </si>
  <si>
    <t>NZD - New Zealand Dollar ($)</t>
  </si>
  <si>
    <t>Omani Rial</t>
  </si>
  <si>
    <t>OMR</t>
  </si>
  <si>
    <t>ر.ع.</t>
  </si>
  <si>
    <t>OMR - Omani Rial (ر.ع.)</t>
  </si>
  <si>
    <t>Panama Balboa</t>
  </si>
  <si>
    <t>PAB</t>
  </si>
  <si>
    <t>B</t>
  </si>
  <si>
    <t>PAB - Panama Balboa (B)</t>
  </si>
  <si>
    <t>Peruvian Nuevo Sol</t>
  </si>
  <si>
    <t>PEN</t>
  </si>
  <si>
    <t>S/.</t>
  </si>
  <si>
    <t>PEN - Peruvian Nuevo Sol (S/.)</t>
  </si>
  <si>
    <t>Papua New Guinea Kina</t>
  </si>
  <si>
    <t>PGK</t>
  </si>
  <si>
    <t>PGK - Papua New Guinea Kina (K)</t>
  </si>
  <si>
    <t>Philippine Peso</t>
  </si>
  <si>
    <t>PHP</t>
  </si>
  <si>
    <t>₱</t>
  </si>
  <si>
    <t>PHP - Philippine Peso (₱)</t>
  </si>
  <si>
    <t>Pakistani Rupee</t>
  </si>
  <si>
    <t>PKR</t>
  </si>
  <si>
    <t>PKR - Pakistani Rupee (Rs.)</t>
  </si>
  <si>
    <t>Polish Zloty</t>
  </si>
  <si>
    <t>PLN</t>
  </si>
  <si>
    <t>zł</t>
  </si>
  <si>
    <t>PLN - Polish Zloty (zł)</t>
  </si>
  <si>
    <t>Paraguayan Guarani</t>
  </si>
  <si>
    <t>PYG</t>
  </si>
  <si>
    <t>PYG - Paraguayan Guarani ()</t>
  </si>
  <si>
    <t>Qatar Rial</t>
  </si>
  <si>
    <t>QAR</t>
  </si>
  <si>
    <t>ر.ق</t>
  </si>
  <si>
    <t>QAR - Qatar Rial (ر.ق)</t>
  </si>
  <si>
    <t>Romanian New Leu</t>
  </si>
  <si>
    <t>RON</t>
  </si>
  <si>
    <t>RON - Romanian New Leu (L)</t>
  </si>
  <si>
    <t>Russian Rouble</t>
  </si>
  <si>
    <t>RUB</t>
  </si>
  <si>
    <t>руб</t>
  </si>
  <si>
    <t>RUB - Russian Rouble (руб)</t>
  </si>
  <si>
    <t>Rwanda Franc</t>
  </si>
  <si>
    <t>RWF</t>
  </si>
  <si>
    <t>RF</t>
  </si>
  <si>
    <t>RWF - Rwanda Franc (RF)</t>
  </si>
  <si>
    <t>Saudi Arabian Riyal</t>
  </si>
  <si>
    <t>SAR</t>
  </si>
  <si>
    <t>ر.س</t>
  </si>
  <si>
    <t>SAR - Saudi Arabian Riyal (ر.س)</t>
  </si>
  <si>
    <t>Solomon Islands Dollar</t>
  </si>
  <si>
    <t>SBD</t>
  </si>
  <si>
    <t>SI$</t>
  </si>
  <si>
    <t>SBD - Solomon Islands Dollar (SI$)</t>
  </si>
  <si>
    <t>Seychelles Rupee</t>
  </si>
  <si>
    <t>SCR</t>
  </si>
  <si>
    <t>SR</t>
  </si>
  <si>
    <t>SCR - Seychelles Rupee (SR)</t>
  </si>
  <si>
    <t>Sudanese Pound</t>
  </si>
  <si>
    <t>SDG</t>
  </si>
  <si>
    <t>SDG - Sudanese Pound (SDG)</t>
  </si>
  <si>
    <t>Swedish Krona</t>
  </si>
  <si>
    <t>SEK</t>
  </si>
  <si>
    <t>SEK - Swedish Krona (kr)</t>
  </si>
  <si>
    <t>Singapore Dollar</t>
  </si>
  <si>
    <t>SGD</t>
  </si>
  <si>
    <t>S$</t>
  </si>
  <si>
    <t>SGD - Singapore Dollar (S$)</t>
  </si>
  <si>
    <t>St Helena Pound</t>
  </si>
  <si>
    <t>SHP</t>
  </si>
  <si>
    <t>SHP - St Helena Pound (£)</t>
  </si>
  <si>
    <t>Slovak Koruna</t>
  </si>
  <si>
    <t>SKK</t>
  </si>
  <si>
    <t>Sk</t>
  </si>
  <si>
    <t>SKK - Slovak Koruna (Sk)</t>
  </si>
  <si>
    <t>Sierra Leone Leone</t>
  </si>
  <si>
    <t>SLL</t>
  </si>
  <si>
    <t>Le</t>
  </si>
  <si>
    <t>SLL - Sierra Leone Leone (Le)</t>
  </si>
  <si>
    <t>Somali Shilling</t>
  </si>
  <si>
    <t>SOS</t>
  </si>
  <si>
    <t>So.</t>
  </si>
  <si>
    <t>SOS - Somali Shilling (So.)</t>
  </si>
  <si>
    <t>Sao Tome Dobra</t>
  </si>
  <si>
    <t>STD</t>
  </si>
  <si>
    <t>Db</t>
  </si>
  <si>
    <t>STD - Sao Tome Dobra (Db)</t>
  </si>
  <si>
    <t>El Salvador Colon</t>
  </si>
  <si>
    <t>SVC</t>
  </si>
  <si>
    <t>SVC - El Salvador Colon (₡)</t>
  </si>
  <si>
    <t>Syrian Pound</t>
  </si>
  <si>
    <t>SYP</t>
  </si>
  <si>
    <t>SYP - Syrian Pound (SYP)</t>
  </si>
  <si>
    <t>Swaziland Lilageni</t>
  </si>
  <si>
    <t>SZL</t>
  </si>
  <si>
    <t>SZL - Swaziland Lilageni (SZL)</t>
  </si>
  <si>
    <t>฿</t>
  </si>
  <si>
    <t>THB - Thai Baht (฿)</t>
  </si>
  <si>
    <t>Tunisian Dinar</t>
  </si>
  <si>
    <t>TND</t>
  </si>
  <si>
    <t>د.ت</t>
  </si>
  <si>
    <t>TND - Tunisian Dinar (د.ت)</t>
  </si>
  <si>
    <t>Tongan paʻanga</t>
  </si>
  <si>
    <t>TOP</t>
  </si>
  <si>
    <t>T$</t>
  </si>
  <si>
    <t>TOP - Tongan paʻanga (T$)</t>
  </si>
  <si>
    <t>Turkish Lira</t>
  </si>
  <si>
    <t>TRY</t>
  </si>
  <si>
    <t>YTL</t>
  </si>
  <si>
    <t>TRY - Turkish Lira (YTL)</t>
  </si>
  <si>
    <t>Trinidad Tobago Dollar</t>
  </si>
  <si>
    <t>TTD</t>
  </si>
  <si>
    <t>TTD - Trinidad Tobago Dollar (TTD)</t>
  </si>
  <si>
    <t>NT$</t>
  </si>
  <si>
    <t>TWD - Taiwan Dollar (NT$)</t>
  </si>
  <si>
    <t>Tanzanian Shilling</t>
  </si>
  <si>
    <t>TZS</t>
  </si>
  <si>
    <t>x</t>
  </si>
  <si>
    <t>TZS - Tanzanian Shilling (x)</t>
  </si>
  <si>
    <t>Ukraine Hryvnia</t>
  </si>
  <si>
    <t>UAH</t>
  </si>
  <si>
    <t>UAH - Ukraine Hryvnia ()</t>
  </si>
  <si>
    <t>Ugandan Shilling</t>
  </si>
  <si>
    <t>UGX</t>
  </si>
  <si>
    <t>USh</t>
  </si>
  <si>
    <t>UGX - Ugandan Shilling (USh)</t>
  </si>
  <si>
    <t>Uruguayan New Peso</t>
  </si>
  <si>
    <t>UYU</t>
  </si>
  <si>
    <t>UYU - Uruguayan New Peso (UYU)</t>
  </si>
  <si>
    <t>Uzbekistan Sum</t>
  </si>
  <si>
    <t>UZS</t>
  </si>
  <si>
    <t>UZS - Uzbekistan Sum (UZS)</t>
  </si>
  <si>
    <t>Venezuelan Bolivar</t>
  </si>
  <si>
    <t>VEF</t>
  </si>
  <si>
    <t>VEF - Venezuelan Bolivar (VEF)</t>
  </si>
  <si>
    <t>Vietnam Dong</t>
  </si>
  <si>
    <t>VND</t>
  </si>
  <si>
    <t>₫</t>
  </si>
  <si>
    <t>VND - Vietnam Dong (₫)</t>
  </si>
  <si>
    <t>Vanuatu Vatu</t>
  </si>
  <si>
    <t>VUV</t>
  </si>
  <si>
    <t>Vt</t>
  </si>
  <si>
    <t>VUV - Vanuatu Vatu (Vt)</t>
  </si>
  <si>
    <t>Samoa Tala</t>
  </si>
  <si>
    <t>WST</t>
  </si>
  <si>
    <t>WS$</t>
  </si>
  <si>
    <t>WST - Samoa Tala (WS$)</t>
  </si>
  <si>
    <t>CFA Franc (BEAC)</t>
  </si>
  <si>
    <t>XAF</t>
  </si>
  <si>
    <t>BEAC</t>
  </si>
  <si>
    <t>XAF - CFA Franc (BEAC) (BEAC)</t>
  </si>
  <si>
    <t>East Caribbean Dollar</t>
  </si>
  <si>
    <t>XCD</t>
  </si>
  <si>
    <t>EC$</t>
  </si>
  <si>
    <t>XCD - East Caribbean Dollar (EC$)</t>
  </si>
  <si>
    <t>CFA Franc (BCEAO)</t>
  </si>
  <si>
    <t>XOF</t>
  </si>
  <si>
    <t>BCEAO</t>
  </si>
  <si>
    <t>XOF - CFA Franc (BCEAO) (BCEAO)</t>
  </si>
  <si>
    <t>Pacific Franc</t>
  </si>
  <si>
    <t>XPF</t>
  </si>
  <si>
    <t>F</t>
  </si>
  <si>
    <t>XPF - Pacific Franc (F)</t>
  </si>
  <si>
    <t>Yemen Riyal</t>
  </si>
  <si>
    <t>YER</t>
  </si>
  <si>
    <t>YER - Yemen Riyal (YER)</t>
  </si>
  <si>
    <t>ZAR - South African Rand (R)</t>
  </si>
  <si>
    <t>ZMK</t>
  </si>
  <si>
    <t>ZMK - Zambian Kwacha (ZMK)</t>
  </si>
  <si>
    <t>US Territory</t>
  </si>
  <si>
    <t>Supplier/Individual/Study Participant/ACH/Wire Form</t>
  </si>
  <si>
    <t>Enter Estimated Amount to Receive from Goods and/or Services Being Provided to Emory (Input Amount and Currency):</t>
  </si>
  <si>
    <t>Intermediary Banking Information</t>
  </si>
  <si>
    <t>Account Number (Only Applicable For Further Credit):</t>
  </si>
  <si>
    <t>My firm agrees to Net 30 payment terms.</t>
  </si>
  <si>
    <t>My firm has a contract with Emory stating the payment terms.</t>
  </si>
  <si>
    <r>
      <t xml:space="preserve">9. Emory highly encourages that your company be registered with The System for Award Management (SAM) because not doing so can preclude you as a supplier for contracts that Emory has with the U.S. government. For additional information and to register, please visit </t>
    </r>
    <r>
      <rPr>
        <b/>
        <u/>
        <sz val="11"/>
        <color theme="1"/>
        <rFont val="Calibri"/>
        <family val="2"/>
        <scheme val="minor"/>
      </rPr>
      <t>https://www.sam.gov</t>
    </r>
    <r>
      <rPr>
        <b/>
        <sz val="11"/>
        <color theme="1"/>
        <rFont val="Calibri"/>
        <family val="2"/>
        <scheme val="minor"/>
      </rPr>
      <t>/</t>
    </r>
  </si>
  <si>
    <t>7. Emory offers 2 standard payment term options. The first is Net 0 which is through the SUA Program. The second is Net 30. For more information on SUA, please view the comment by hovering your mouse over this box.  Please select your preference.</t>
  </si>
  <si>
    <t>Is the Shipping Address and contact information exactly the same as the Legal Mailing Address?</t>
  </si>
  <si>
    <t>Is the Remit to Address (Billing Address) and contact information exactly the same as the Legal Mailing Address?</t>
  </si>
  <si>
    <t>DC</t>
  </si>
  <si>
    <t>PR</t>
  </si>
  <si>
    <t>3. My firm is not currently debarred, suspended, or proposed for debarment by any federal entity and I agree to notify Emory University Payment Services of any change in status.</t>
  </si>
  <si>
    <t>2. I am not subject to backup withholding because (a) I am exempt from backup withholding, or (b) I have not been notified by the Internal Revenue Service (IRS) that I am subject to backup withholding as a result of a failure to report all interest or dividends, or (c) the IRS has notified me that I am no longer subject to backup withholding.</t>
  </si>
  <si>
    <t>Taxpayer Identification Number (Select Type):</t>
  </si>
  <si>
    <t>Select the appropriate entity type for federal tax classification:</t>
  </si>
  <si>
    <t>Is your company the direct output of a merger, acquisition, or spinoff?</t>
  </si>
  <si>
    <t>Would your company identify as a small and/or diverse business?</t>
  </si>
  <si>
    <t>My firm agrees to Net 0 payment terms through the SUA (Single Use Credit Card) Program.</t>
  </si>
  <si>
    <t>My firm is already enrolled in the SUA (Single Use Credit Card) Program.</t>
  </si>
  <si>
    <t>Supplier Information Form (SIF) Version 2.0 Effective 4-15-2020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</si>
</sst>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1"/>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0"/>
      <name val="Calibri"/>
      <family val="2"/>
      <scheme val="minor"/>
    </font>
    <font>
      <b/>
      <sz val="20"/>
      <color theme="0"/>
      <name val="Calibri"/>
      <family val="2"/>
      <scheme val="minor"/>
    </font>
    <font>
      <b/>
      <sz val="22"/>
      <color rgb="FFFFFF00"/>
      <name val="Calibri"/>
      <family val="2"/>
      <scheme val="minor"/>
    </font>
    <font>
      <u/>
      <sz val="11"/>
      <color theme="10"/>
      <name val="Calibri"/>
      <family val="2"/>
      <scheme val="minor"/>
    </font>
    <font>
      <b/>
      <sz val="16"/>
      <color rgb="FFFFFF00"/>
      <name val="Calibri"/>
      <family val="2"/>
      <scheme val="minor"/>
    </font>
    <font>
      <b/>
      <sz val="9"/>
      <color indexed="81"/>
      <name val="Tahoma"/>
      <family val="2"/>
    </font>
    <font>
      <b/>
      <u/>
      <sz val="11"/>
      <color theme="1"/>
      <name val="Calibri"/>
      <family val="2"/>
      <scheme val="minor"/>
    </font>
    <font>
      <sz val="11"/>
      <color rgb="FFFF0000"/>
      <name val="Calibri"/>
      <family val="2"/>
      <scheme val="minor"/>
    </font>
    <font>
      <sz val="11"/>
      <name val="Calibri"/>
      <family val="2"/>
      <scheme val="minor"/>
    </font>
    <font>
      <sz val="11"/>
      <color theme="1"/>
      <name val="Rockwell Extra Bold"/>
      <family val="1"/>
    </font>
    <font>
      <b/>
      <sz val="11"/>
      <name val="Calibri"/>
      <family val="2"/>
      <scheme val="minor"/>
    </font>
    <font>
      <sz val="9"/>
      <color indexed="81"/>
      <name val="Tahoma"/>
      <family val="2"/>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0" fillId="0" borderId="0" xfId="0" applyAlignment="1">
      <alignment vertical="center"/>
    </xf>
    <xf numFmtId="0" fontId="0" fillId="0" borderId="0" xfId="0" applyAlignment="1">
      <alignment vertical="center" wrapText="1"/>
    </xf>
    <xf numFmtId="0" fontId="1"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49" fontId="0" fillId="0" borderId="0" xfId="0" applyNumberFormat="1" applyAlignment="1" applyProtection="1">
      <alignment vertical="center"/>
      <protection hidden="1"/>
    </xf>
    <xf numFmtId="0" fontId="0" fillId="0" borderId="0" xfId="0" applyAlignment="1" applyProtection="1">
      <alignment vertical="center"/>
      <protection hidden="1"/>
    </xf>
    <xf numFmtId="0" fontId="1" fillId="3" borderId="1" xfId="0" applyFont="1" applyFill="1" applyBorder="1" applyAlignment="1" applyProtection="1">
      <alignment vertical="center" wrapText="1"/>
      <protection hidden="1"/>
    </xf>
    <xf numFmtId="0" fontId="1" fillId="3" borderId="8" xfId="0" applyFont="1" applyFill="1" applyBorder="1" applyAlignment="1" applyProtection="1">
      <alignment vertical="center" wrapText="1"/>
      <protection hidden="1"/>
    </xf>
    <xf numFmtId="0" fontId="8" fillId="4" borderId="11" xfId="1" applyFont="1" applyFill="1" applyBorder="1" applyAlignment="1" applyProtection="1">
      <alignment horizontal="center" vertical="center" wrapText="1"/>
      <protection locked="0" hidden="1"/>
    </xf>
    <xf numFmtId="0" fontId="7" fillId="0" borderId="0" xfId="1" applyAlignment="1" applyProtection="1">
      <alignment vertical="center"/>
      <protection hidden="1"/>
    </xf>
    <xf numFmtId="0" fontId="11" fillId="0" borderId="0" xfId="0" applyFont="1" applyAlignment="1" applyProtection="1">
      <alignment horizontal="center" vertical="center" wrapText="1"/>
      <protection hidden="1"/>
    </xf>
    <xf numFmtId="0" fontId="11" fillId="0" borderId="0" xfId="0" applyFont="1" applyAlignment="1">
      <alignment horizontal="center" vertical="center"/>
    </xf>
    <xf numFmtId="0" fontId="12" fillId="0" borderId="0" xfId="0" applyFont="1" applyAlignment="1" applyProtection="1">
      <alignment horizontal="center" vertical="center" wrapText="1"/>
      <protection hidden="1"/>
    </xf>
    <xf numFmtId="0" fontId="12" fillId="0" borderId="0" xfId="0" applyFont="1" applyAlignment="1">
      <alignment horizontal="center" vertical="center"/>
    </xf>
    <xf numFmtId="49" fontId="0" fillId="0" borderId="0" xfId="0" applyNumberFormat="1" applyAlignment="1" applyProtection="1">
      <alignment vertical="center" wrapText="1"/>
      <protection hidden="1"/>
    </xf>
    <xf numFmtId="0" fontId="0" fillId="0" borderId="0" xfId="0"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pplyProtection="1">
      <alignment vertical="center" wrapText="1"/>
      <protection hidden="1"/>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49" fontId="0" fillId="0" borderId="1" xfId="0" applyNumberFormat="1" applyBorder="1" applyAlignment="1" applyProtection="1">
      <alignment vertical="center" wrapText="1"/>
      <protection locked="0"/>
    </xf>
    <xf numFmtId="49" fontId="7" fillId="0" borderId="1" xfId="1" applyNumberFormat="1" applyBorder="1" applyAlignment="1" applyProtection="1">
      <alignment vertical="center" wrapText="1"/>
      <protection locked="0"/>
    </xf>
    <xf numFmtId="164" fontId="0" fillId="0" borderId="1" xfId="0" applyNumberFormat="1" applyBorder="1" applyAlignment="1" applyProtection="1">
      <alignment horizontal="left" vertical="center" wrapText="1"/>
      <protection locked="0"/>
    </xf>
    <xf numFmtId="49" fontId="0" fillId="0" borderId="1" xfId="0" applyNumberFormat="1" applyBorder="1" applyAlignment="1" applyProtection="1">
      <alignment vertical="center"/>
      <protection locked="0"/>
    </xf>
    <xf numFmtId="49" fontId="7" fillId="0" borderId="1" xfId="1" applyNumberFormat="1" applyBorder="1" applyAlignment="1" applyProtection="1">
      <alignment vertical="center"/>
      <protection locked="0"/>
    </xf>
    <xf numFmtId="164" fontId="0" fillId="0" borderId="1" xfId="0" applyNumberFormat="1" applyBorder="1" applyAlignment="1" applyProtection="1">
      <alignment horizontal="left" vertical="center"/>
      <protection locked="0"/>
    </xf>
    <xf numFmtId="0" fontId="1" fillId="3" borderId="1" xfId="0" applyFont="1" applyFill="1" applyBorder="1" applyAlignment="1" applyProtection="1">
      <alignment vertical="center" wrapText="1"/>
      <protection locked="0" hidden="1"/>
    </xf>
    <xf numFmtId="49" fontId="13" fillId="0" borderId="1" xfId="0" applyNumberFormat="1" applyFont="1" applyBorder="1" applyAlignment="1" applyProtection="1">
      <alignment vertical="center" wrapText="1"/>
      <protection locked="0"/>
    </xf>
    <xf numFmtId="49" fontId="13" fillId="0" borderId="1" xfId="0" applyNumberFormat="1" applyFont="1" applyBorder="1" applyAlignment="1" applyProtection="1">
      <alignment vertical="center"/>
      <protection locked="0"/>
    </xf>
    <xf numFmtId="0" fontId="1" fillId="0" borderId="0" xfId="0" applyFont="1" applyAlignment="1" applyProtection="1">
      <alignment vertical="center"/>
      <protection hidden="1"/>
    </xf>
    <xf numFmtId="0" fontId="14" fillId="3" borderId="1" xfId="1" applyFont="1" applyFill="1" applyBorder="1" applyAlignment="1" applyProtection="1">
      <alignment vertical="center" wrapText="1"/>
      <protection locked="0"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0" fillId="3" borderId="4" xfId="0" applyFill="1" applyBorder="1" applyAlignment="1" applyProtection="1">
      <alignment vertical="center" wrapText="1"/>
      <protection hidden="1"/>
    </xf>
    <xf numFmtId="0" fontId="0" fillId="3" borderId="5" xfId="0" applyFill="1" applyBorder="1" applyAlignment="1" applyProtection="1">
      <alignment vertical="center" wrapText="1"/>
      <protection hidden="1"/>
    </xf>
    <xf numFmtId="0" fontId="3" fillId="3" borderId="6" xfId="0" applyFont="1" applyFill="1" applyBorder="1" applyAlignment="1" applyProtection="1">
      <alignment vertical="center" wrapText="1"/>
      <protection hidden="1"/>
    </xf>
    <xf numFmtId="0" fontId="3" fillId="3" borderId="7" xfId="0" applyFont="1" applyFill="1" applyBorder="1" applyAlignment="1" applyProtection="1">
      <alignment vertical="center" wrapText="1"/>
      <protection hidden="1"/>
    </xf>
    <xf numFmtId="0" fontId="6" fillId="4" borderId="9" xfId="0" applyFont="1" applyFill="1" applyBorder="1" applyAlignment="1" applyProtection="1">
      <alignment horizontal="center" vertical="center" wrapText="1"/>
      <protection locked="0" hidden="1"/>
    </xf>
    <xf numFmtId="0" fontId="6" fillId="4" borderId="10" xfId="0" applyFont="1" applyFill="1" applyBorder="1" applyAlignment="1" applyProtection="1">
      <alignment horizontal="center" vertical="center" wrapText="1"/>
      <protection locked="0" hidden="1"/>
    </xf>
    <xf numFmtId="0" fontId="4" fillId="2" borderId="0" xfId="0" applyFont="1" applyFill="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6" fillId="4" borderId="9" xfId="0" applyFont="1" applyFill="1" applyBorder="1" applyAlignment="1" applyProtection="1">
      <alignment horizontal="center" vertical="center" wrapText="1"/>
      <protection hidden="1"/>
    </xf>
    <xf numFmtId="0" fontId="6" fillId="4" borderId="10"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top" wrapText="1"/>
      <protection hidden="1"/>
    </xf>
    <xf numFmtId="0" fontId="2" fillId="2" borderId="0" xfId="0" applyFont="1" applyFill="1" applyAlignment="1" applyProtection="1">
      <alignment horizontal="center" vertical="top" wrapText="1"/>
      <protection hidden="1"/>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2">
    <cellStyle name="Hyperlink" xfId="1" builtinId="8"/>
    <cellStyle name="Normal" xfId="0" builtinId="0"/>
  </cellStyles>
  <dxfs count="22">
    <dxf>
      <fill>
        <patternFill patternType="lightGray">
          <bgColor rgb="FFFFFF00"/>
        </patternFill>
      </fill>
    </dxf>
    <dxf>
      <fill>
        <patternFill>
          <bgColor rgb="FFFF0000"/>
        </patternFill>
      </fill>
    </dxf>
    <dxf>
      <font>
        <color theme="0"/>
      </font>
      <fill>
        <patternFill>
          <bgColor rgb="FF00B05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lightGray">
          <bgColor rgb="FFFFFF00"/>
        </patternFill>
      </fill>
      <border>
        <left style="thin">
          <color auto="1"/>
        </left>
        <right style="thin">
          <color auto="1"/>
        </right>
        <top style="thin">
          <color auto="1"/>
        </top>
        <bottom style="thin">
          <color auto="1"/>
        </bottom>
      </border>
    </dxf>
    <dxf>
      <fill>
        <patternFill>
          <bgColor rgb="FFFF0000"/>
        </patternFill>
      </fill>
    </dxf>
    <dxf>
      <font>
        <color theme="0"/>
      </font>
      <fill>
        <patternFill>
          <bgColor rgb="FF00B05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lightGray">
          <bgColor rgb="FFFFFF00"/>
        </patternFill>
      </fill>
      <border>
        <left style="thin">
          <color auto="1"/>
        </left>
        <right style="thin">
          <color auto="1"/>
        </right>
        <top style="thin">
          <color auto="1"/>
        </top>
        <bottom style="thin">
          <color auto="1"/>
        </bottom>
      </border>
    </dxf>
    <dxf>
      <fill>
        <patternFill>
          <bgColor rgb="FFFF0000"/>
        </patternFill>
      </fill>
    </dxf>
    <dxf>
      <font>
        <color theme="0"/>
      </font>
      <fill>
        <patternFill>
          <bgColor rgb="FF00B05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rgb="FFFF0000"/>
        </patternFill>
      </fill>
    </dxf>
    <dxf>
      <fill>
        <patternFill patternType="lightGray">
          <bgColor rgb="FFFFFF00"/>
        </patternFill>
      </fill>
      <border>
        <left style="thin">
          <color auto="1"/>
        </left>
        <right style="thin">
          <color auto="1"/>
        </right>
        <top style="thin">
          <color auto="1"/>
        </top>
        <bottom style="thin">
          <color auto="1"/>
        </bottom>
      </border>
    </dxf>
    <dxf>
      <font>
        <color theme="0"/>
      </font>
      <fill>
        <patternFill>
          <bgColor rgb="FF00B05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1428750</xdr:colOff>
      <xdr:row>1</xdr:row>
      <xdr:rowOff>28575</xdr:rowOff>
    </xdr:from>
    <xdr:to>
      <xdr:col>3</xdr:col>
      <xdr:colOff>142875</xdr:colOff>
      <xdr:row>1</xdr:row>
      <xdr:rowOff>676275</xdr:rowOff>
    </xdr:to>
    <xdr:grpSp>
      <xdr:nvGrpSpPr>
        <xdr:cNvPr id="7" name="Group 6">
          <a:extLst>
            <a:ext uri="{FF2B5EF4-FFF2-40B4-BE49-F238E27FC236}">
              <a16:creationId xmlns:a16="http://schemas.microsoft.com/office/drawing/2014/main" id="{377637B2-1AED-47DC-B875-160404A4D3EF}"/>
            </a:ext>
          </a:extLst>
        </xdr:cNvPr>
        <xdr:cNvGrpSpPr/>
      </xdr:nvGrpSpPr>
      <xdr:grpSpPr>
        <a:xfrm>
          <a:off x="1962150" y="212725"/>
          <a:ext cx="4695825" cy="647700"/>
          <a:chOff x="1971675" y="95250"/>
          <a:chExt cx="4429125" cy="647700"/>
        </a:xfrm>
      </xdr:grpSpPr>
      <xdr:pic>
        <xdr:nvPicPr>
          <xdr:cNvPr id="2" name="Picture 1">
            <a:extLst>
              <a:ext uri="{FF2B5EF4-FFF2-40B4-BE49-F238E27FC236}">
                <a16:creationId xmlns:a16="http://schemas.microsoft.com/office/drawing/2014/main" id="{39D38DD1-57B7-40D5-9A18-9F397790E117}"/>
              </a:ext>
            </a:extLst>
          </xdr:cNvPr>
          <xdr:cNvPicPr>
            <a:picLocks noChangeAspect="1"/>
          </xdr:cNvPicPr>
        </xdr:nvPicPr>
        <xdr:blipFill>
          <a:blip xmlns:r="http://schemas.openxmlformats.org/officeDocument/2006/relationships" r:embed="rId1"/>
          <a:stretch>
            <a:fillRect/>
          </a:stretch>
        </xdr:blipFill>
        <xdr:spPr>
          <a:xfrm>
            <a:off x="1971675" y="95250"/>
            <a:ext cx="4337685" cy="590550"/>
          </a:xfrm>
          <a:prstGeom prst="rect">
            <a:avLst/>
          </a:prstGeom>
        </xdr:spPr>
      </xdr:pic>
      <xdr:sp macro="" textlink="">
        <xdr:nvSpPr>
          <xdr:cNvPr id="6" name="TextBox 5">
            <a:extLst>
              <a:ext uri="{FF2B5EF4-FFF2-40B4-BE49-F238E27FC236}">
                <a16:creationId xmlns:a16="http://schemas.microsoft.com/office/drawing/2014/main" id="{E8940A1C-4CAB-4F6D-929B-1B9D1DF89B6A}"/>
              </a:ext>
            </a:extLst>
          </xdr:cNvPr>
          <xdr:cNvSpPr txBox="1"/>
        </xdr:nvSpPr>
        <xdr:spPr>
          <a:xfrm>
            <a:off x="2524126" y="114302"/>
            <a:ext cx="3876674" cy="628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lang="en-US" sz="2800" b="1">
                <a:solidFill>
                  <a:srgbClr val="002060"/>
                </a:solidFill>
                <a:latin typeface="Garamond" panose="02020404030301010803" pitchFamily="18" charset="0"/>
              </a:rPr>
              <a:t>EMORY UNIVERSITY</a:t>
            </a:r>
          </a:p>
          <a:p>
            <a:pPr algn="ctr"/>
            <a:r>
              <a:rPr lang="en-US" sz="1600" b="1">
                <a:solidFill>
                  <a:srgbClr val="002060"/>
                </a:solidFill>
                <a:latin typeface="Garamond" panose="02020404030301010803" pitchFamily="18" charset="0"/>
              </a:rPr>
              <a:t>Accounts Payable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25A3-8434-4831-9341-009D33DA6AC1}">
  <sheetPr>
    <tabColor rgb="FF00B050"/>
  </sheetPr>
  <dimension ref="C1:I10"/>
  <sheetViews>
    <sheetView showGridLines="0" tabSelected="1" workbookViewId="0">
      <selection activeCell="D7" sqref="D7"/>
    </sheetView>
  </sheetViews>
  <sheetFormatPr defaultColWidth="9.08984375" defaultRowHeight="14.5" x14ac:dyDescent="0.35"/>
  <cols>
    <col min="1" max="1" width="4.08984375" style="8" customWidth="1"/>
    <col min="2" max="2" width="3.54296875" style="8" customWidth="1"/>
    <col min="3" max="3" width="85.6328125" style="6" customWidth="1"/>
    <col min="4" max="4" width="22.54296875" style="8" customWidth="1"/>
    <col min="5" max="16384" width="9.08984375" style="8"/>
  </cols>
  <sheetData>
    <row r="1" spans="3:9" x14ac:dyDescent="0.35">
      <c r="C1" s="22" t="s">
        <v>1062</v>
      </c>
    </row>
    <row r="2" spans="3:9" ht="54" customHeight="1" x14ac:dyDescent="0.35">
      <c r="C2" s="36"/>
      <c r="D2" s="37"/>
      <c r="I2" s="12"/>
    </row>
    <row r="3" spans="3:9" ht="26" x14ac:dyDescent="0.35">
      <c r="C3" s="38" t="s">
        <v>1042</v>
      </c>
      <c r="D3" s="39"/>
    </row>
    <row r="4" spans="3:9" ht="67.5" customHeight="1" x14ac:dyDescent="0.35">
      <c r="C4" s="40" t="s">
        <v>97</v>
      </c>
      <c r="D4" s="41"/>
    </row>
    <row r="5" spans="3:9" ht="28.25" customHeight="1" x14ac:dyDescent="0.35">
      <c r="C5" s="42" t="s">
        <v>0</v>
      </c>
      <c r="D5" s="43"/>
    </row>
    <row r="6" spans="3:9" ht="24" customHeight="1" x14ac:dyDescent="0.35">
      <c r="C6" s="46" t="s">
        <v>98</v>
      </c>
      <c r="D6" s="46"/>
    </row>
    <row r="7" spans="3:9" x14ac:dyDescent="0.35">
      <c r="C7" s="9" t="s">
        <v>83</v>
      </c>
      <c r="D7" s="23"/>
    </row>
    <row r="8" spans="3:9" ht="15" thickBot="1" x14ac:dyDescent="0.4">
      <c r="C8" s="10" t="str">
        <f>IF(D7="","",IF(D7="Company","Is your company a US based entity for tax purposes?","Are you a US citizen or resident for tax purposes?"))</f>
        <v/>
      </c>
      <c r="D8" s="24"/>
    </row>
    <row r="9" spans="3:9" ht="29.5" thickTop="1" thickBot="1" x14ac:dyDescent="0.4">
      <c r="C9" s="44" t="str">
        <f>IF(AND(D7&lt;&gt;"",D8="No"),HYPERLINK(CONCATENATE("#FRGN!h4"),"Click Here to Proceed"),IF(AND(D7="Study Participant",D8="Yes"),HYPERLINK(CONCATENATE("#STPT!h10"),"Click Here to Proceed"),IF(AND(D7="Individual",D8="Yes"),HYPERLINK(CONCATENATE("#INDV!h4"),"Click Here to Proceed"),IF(AND(D7="Company",D8="Yes"),HYPERLINK(CONCATENATE("#CPNY!h4"),"Click Here to Proceed"),"Please fill in all Yellow Cells"))))</f>
        <v>Please fill in all Yellow Cells</v>
      </c>
      <c r="D9" s="45"/>
    </row>
    <row r="10" spans="3:9" ht="17.25" customHeight="1" thickTop="1" x14ac:dyDescent="0.35"/>
  </sheetData>
  <sheetProtection algorithmName="SHA-512" hashValue="hZOKBmRqBWxyZTb67dZaYfImkYp3hSCQx+VNqYk/JeDfsCof+IHifNah8ml4Jn+hlDKJvTJz0gIRSrT4hD+XIQ==" saltValue="nWodoQK3W92fxF7Cc2Gghg==" spinCount="100000" sheet="1" selectLockedCells="1"/>
  <mergeCells count="6">
    <mergeCell ref="C2:D2"/>
    <mergeCell ref="C3:D3"/>
    <mergeCell ref="C4:D4"/>
    <mergeCell ref="C5:D5"/>
    <mergeCell ref="C9:D9"/>
    <mergeCell ref="C6:D6"/>
  </mergeCells>
  <conditionalFormatting sqref="D7">
    <cfRule type="containsBlanks" dxfId="21" priority="3">
      <formula>LEN(TRIM(D7))=0</formula>
    </cfRule>
  </conditionalFormatting>
  <conditionalFormatting sqref="D8">
    <cfRule type="expression" dxfId="20" priority="1">
      <formula>AND($D$8="",$D$7&lt;&gt;"Study Participant",$D$7&lt;&gt;"")</formula>
    </cfRule>
  </conditionalFormatting>
  <dataValidations count="2">
    <dataValidation type="list" allowBlank="1" showInputMessage="1" showErrorMessage="1" sqref="D7" xr:uid="{D0A46311-5840-45B8-BA18-D392A95AFBE4}">
      <formula1>"Company,Individual,Study Participant"</formula1>
    </dataValidation>
    <dataValidation type="list" allowBlank="1" showInputMessage="1" showErrorMessage="1" sqref="D8" xr:uid="{B0B48726-72D0-488E-B9C5-B2F9C36B9EB0}">
      <formula1>"Yes,No"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AE23-8D4B-451F-B8EC-02A0073791EB}">
  <sheetPr>
    <pageSetUpPr fitToPage="1"/>
  </sheetPr>
  <dimension ref="B1:J99"/>
  <sheetViews>
    <sheetView showGridLines="0" zoomScaleNormal="100" workbookViewId="0">
      <pane ySplit="2" topLeftCell="A3" activePane="bottomLeft" state="frozen"/>
      <selection pane="bottomLeft" activeCell="H4" sqref="H4"/>
    </sheetView>
  </sheetViews>
  <sheetFormatPr defaultColWidth="9.08984375" defaultRowHeight="14.5" x14ac:dyDescent="0.35"/>
  <cols>
    <col min="1" max="1" width="1.08984375" style="8" customWidth="1"/>
    <col min="2" max="2" width="12.54296875" style="5" hidden="1" customWidth="1"/>
    <col min="3" max="3" width="9.90625" style="5" hidden="1" customWidth="1"/>
    <col min="4" max="4" width="9.6328125" style="5" hidden="1" customWidth="1"/>
    <col min="5" max="5" width="9.90625" style="5" hidden="1" customWidth="1"/>
    <col min="6" max="6" width="10.54296875" style="5" hidden="1" customWidth="1"/>
    <col min="7" max="7" width="56.36328125" style="6" customWidth="1"/>
    <col min="8" max="8" width="78.08984375" style="17" customWidth="1"/>
    <col min="9" max="9" width="1.36328125" style="8" customWidth="1"/>
    <col min="10" max="10" width="12" style="8" customWidth="1"/>
    <col min="11" max="16384" width="9.08984375" style="8"/>
  </cols>
  <sheetData>
    <row r="1" spans="2:10" ht="15" thickBot="1" x14ac:dyDescent="0.4">
      <c r="G1" s="34" t="str">
        <f>Home!C1&amp;" ("&amp;IF(Home!D8="Yes","Domestic ","")&amp;Home!$D$7&amp;")"</f>
        <v>Supplier Information Form (SIF) Version 2.0 Effective 4-15-2020 ()</v>
      </c>
    </row>
    <row r="2" spans="2:10" ht="63" customHeight="1" thickTop="1" thickBot="1" x14ac:dyDescent="0.4">
      <c r="B2" s="5" t="str">
        <f>IF(AND(Home!$D$7="Company",Home!$D$8&lt;&gt;"No"),"Conditional Formatting","")</f>
        <v/>
      </c>
      <c r="C2" s="5" t="s">
        <v>28</v>
      </c>
      <c r="D2" s="5" t="s">
        <v>84</v>
      </c>
      <c r="E2" s="5" t="s">
        <v>20</v>
      </c>
      <c r="F2" s="5" t="s">
        <v>21</v>
      </c>
      <c r="G2" s="50" t="str">
        <f>IF(AND(COUNTIF($B$3:$B$99,"R")&gt;0,COUNTIF($B$3:$B$99,"C")&gt;0),"There are "&amp;COUNTIF($B$3:$B$99,"R")&amp;" required fields remaining highlighted in yellow with mini-dots."&amp;CHAR(10)&amp;"There are "&amp;COUNTIF($B$3:$B$99,"C")&amp;" fields that need correction highlighted in red.",IF(AND(COUNTIF($B$3:$B$99,"R")&gt;0,COUNTIF($B$3:$B$99,"C")=0),"There are "&amp;COUNTIF($B$3:$B$99,"R")&amp;" required fields remaining highlighted in yellow with mini-dots.",IF(AND(COUNTIF($B$3:$B$99,"R")=0,COUNTIF($B$3:$B$99,"C")&gt;0),"There are "&amp;COUNTIF($B$3:$B$99,"C")&amp;" fields that need correction highlighted in red.","Completed! Please submit this excel file to the Emory personnel that provided you this form.")))</f>
        <v>Completed! Please submit this excel file to the Emory personnel that provided you this form.</v>
      </c>
      <c r="H2" s="51"/>
      <c r="J2" s="11" t="str">
        <f>HYPERLINK(CONCATENATE("#Home!D8"),"Click Here to Go Back")</f>
        <v>Click Here to Go Back</v>
      </c>
    </row>
    <row r="3" spans="2:10" ht="23.25" customHeight="1" thickTop="1" x14ac:dyDescent="0.35">
      <c r="B3" s="5" t="str">
        <f>IF(OR(Home!$D$7="",Home!$D$8="No"),"",IF(ISBLANK(HLOOKUP(Home!$D$7,$D$2:$F$99,ROW(A2),FALSE)),"",IF(H3="",HLOOKUP(Home!$D$7,$D$2:$F$99,ROW(A2),FALSE),IF(C3=FALSE,"C"))))</f>
        <v/>
      </c>
      <c r="C3" s="5" t="b">
        <v>1</v>
      </c>
      <c r="D3" s="15" t="s">
        <v>22</v>
      </c>
      <c r="E3" s="15"/>
      <c r="F3" s="15"/>
      <c r="G3" s="46" t="s">
        <v>19</v>
      </c>
      <c r="H3" s="49"/>
    </row>
    <row r="4" spans="2:10" ht="29" x14ac:dyDescent="0.35">
      <c r="B4" s="5" t="str">
        <f>IF(OR(Home!$D$7="",Home!$D$8="No"),"",IF(ISBLANK(HLOOKUP(Home!$D$7,$D$2:$F$99,ROW(A3),FALSE)),"",IF(H4="",HLOOKUP(Home!$D$7,$D$2:$F$99,ROW(A3),FALSE),IF(C4=FALSE,"C"))))</f>
        <v/>
      </c>
      <c r="C4" s="5" t="b">
        <v>1</v>
      </c>
      <c r="D4" s="15" t="s">
        <v>14</v>
      </c>
      <c r="E4" s="15"/>
      <c r="F4" s="15"/>
      <c r="G4" s="9" t="str">
        <f>IF(Home!$D$7="Company","Is your company",IF(Home!$D$7="Individual","Are you",""))&amp;" filling out this form to update current information on file with Emory? If not sure, select 'No' from drop down box."</f>
        <v xml:space="preserve"> filling out this form to update current information on file with Emory? If not sure, select 'No' from drop down box.</v>
      </c>
      <c r="H4" s="25"/>
    </row>
    <row r="5" spans="2:10" ht="31.5" customHeight="1" x14ac:dyDescent="0.35">
      <c r="B5" s="5" t="str">
        <f>IF(OR(Home!$D$7="",Home!$D$8="No"),"",IF(ISBLANK(HLOOKUP(Home!$D$7,$D$2:$F$99,ROW(A4),FALSE)),"",IF(H5="",HLOOKUP(Home!$D$7,$D$2:$F$99,ROW(A4),FALSE),IF(C5=FALSE,"C"))))</f>
        <v/>
      </c>
      <c r="C5" s="5" t="b">
        <v>1</v>
      </c>
      <c r="D5" s="15" t="str">
        <f>IF(H4="Yes","R","Y")</f>
        <v>Y</v>
      </c>
      <c r="E5" s="15"/>
      <c r="F5" s="15"/>
      <c r="G5" s="9" t="str">
        <f>IF(H4="Yes",IF(Home!$D$7="Company","Does your company",IF(Home!$D$7="Individual","Do you",""))&amp;" only need to update the ACH/Banking information on file with Emory?","")</f>
        <v/>
      </c>
      <c r="H5" s="25"/>
    </row>
    <row r="6" spans="2:10" ht="29" x14ac:dyDescent="0.35">
      <c r="B6" s="5" t="str">
        <f>IF(OR(Home!$D$7="",Home!$D$8="No"),"",IF(ISBLANK(HLOOKUP(Home!$D$7,$D$2:$F$99,ROW(A5),FALSE)),"",IF(H6="",HLOOKUP(Home!$D$7,$D$2:$F$99,ROW(A5),FALSE),IF(C6=FALSE,"C"))))</f>
        <v/>
      </c>
      <c r="C6" s="5" t="b">
        <v>1</v>
      </c>
      <c r="D6" s="15" t="s">
        <v>14</v>
      </c>
      <c r="E6" s="15"/>
      <c r="F6" s="15"/>
      <c r="G6" s="9" t="s">
        <v>1058</v>
      </c>
      <c r="H6" s="25"/>
    </row>
    <row r="7" spans="2:10" ht="47.25" customHeight="1" x14ac:dyDescent="0.35">
      <c r="B7" s="5" t="str">
        <f>IF(OR(Home!$D$7="",Home!$D$8="No"),"",IF(ISBLANK(HLOOKUP(Home!$D$7,$D$2:$F$99,ROW(A6),FALSE)),"",IF(H7="",HLOOKUP(Home!$D$7,$D$2:$F$99,ROW(A6),FALSE),IF(C7=FALSE,"C"))))</f>
        <v/>
      </c>
      <c r="C7" s="5" t="b">
        <v>1</v>
      </c>
      <c r="D7" s="15" t="str">
        <f>IF(H6="Yes","R","Y")</f>
        <v>Y</v>
      </c>
      <c r="E7" s="15"/>
      <c r="F7" s="15"/>
      <c r="G7" s="9" t="str">
        <f>IF(H6="Yes","Please provide a brief description of the merger, acquisition, or spinoff:","")</f>
        <v/>
      </c>
      <c r="H7" s="25"/>
    </row>
    <row r="8" spans="2:10" ht="15" customHeight="1" x14ac:dyDescent="0.35">
      <c r="B8" s="5" t="str">
        <f>IF(OR(Home!$D$7="",Home!$D$8="No"),"",IF(ISBLANK(HLOOKUP(Home!$D$7,$D$2:$F$99,ROW(A7),FALSE)),"",IF(H8="",HLOOKUP(Home!$D$7,$D$2:$F$99,ROW(A7),FALSE),IF(C8=FALSE,"C"))))</f>
        <v/>
      </c>
      <c r="C8" s="5" t="b">
        <v>1</v>
      </c>
      <c r="D8" s="15" t="s">
        <v>22</v>
      </c>
      <c r="E8" s="15"/>
      <c r="F8" s="15"/>
      <c r="G8" s="46"/>
      <c r="H8" s="49"/>
    </row>
    <row r="9" spans="2:10" ht="30.75" customHeight="1" x14ac:dyDescent="0.35">
      <c r="B9" s="5" t="str">
        <f>IF(OR(Home!$D$7="",Home!$D$8="No"),"",IF(ISBLANK(HLOOKUP(Home!$D$7,$D$2:$F$99,ROW(A8),FALSE)),"",IF(H9="",HLOOKUP(Home!$D$7,$D$2:$F$99,ROW(A8),FALSE),IF(C9=FALSE,"C"))))</f>
        <v/>
      </c>
      <c r="C9" s="5" t="b">
        <v>1</v>
      </c>
      <c r="D9" s="15" t="str">
        <f>IF(COUNTIF($B$4:$B$7,"R")&gt;0,"","Y")</f>
        <v>Y</v>
      </c>
      <c r="E9" s="15"/>
      <c r="F9" s="15"/>
      <c r="G9" s="52" t="str">
        <f>Home!D7&amp;" Name and Information"</f>
        <v xml:space="preserve"> Name and Information</v>
      </c>
      <c r="H9" s="53"/>
    </row>
    <row r="10" spans="2:10" x14ac:dyDescent="0.35">
      <c r="B10" s="5" t="str">
        <f>IF(OR(Home!$D$7="",Home!$D$8="No"),"",IF(ISBLANK(HLOOKUP(Home!$D$7,$D$2:$F$99,ROW(A9),FALSE)),"",IF(H10="",HLOOKUP(Home!$D$7,$D$2:$F$99,ROW(A9),FALSE),IF(C10=FALSE,"C"))))</f>
        <v/>
      </c>
      <c r="C10" s="5" t="b">
        <v>1</v>
      </c>
      <c r="D10" s="15" t="str">
        <f>IF(COUNTIF($B$4:$B$7,"R")&gt;0,"",IF($H$5="Yes","Y","R"))</f>
        <v>R</v>
      </c>
      <c r="E10" s="15"/>
      <c r="F10" s="15"/>
      <c r="G10" s="9" t="s">
        <v>23</v>
      </c>
      <c r="H10" s="25"/>
    </row>
    <row r="11" spans="2:10" x14ac:dyDescent="0.35">
      <c r="B11" s="5" t="str">
        <f>IF(OR(Home!$D$7="",Home!$D$8="No"),"",IF(ISBLANK(HLOOKUP(Home!$D$7,$D$2:$F$99,ROW(A10),FALSE)),"",IF(H11="",HLOOKUP(Home!$D$7,$D$2:$F$99,ROW(A10),FALSE),IF(C11=FALSE,"C"))))</f>
        <v/>
      </c>
      <c r="C11" s="5" t="b">
        <v>1</v>
      </c>
      <c r="D11" s="15" t="str">
        <f t="shared" ref="D11" si="0">IF(COUNTIF($B$4:$B$7,"R")&gt;0,"","Y")</f>
        <v>Y</v>
      </c>
      <c r="E11" s="15"/>
      <c r="F11" s="15"/>
      <c r="G11" s="9" t="s">
        <v>2</v>
      </c>
      <c r="H11" s="25"/>
    </row>
    <row r="12" spans="2:10" x14ac:dyDescent="0.35">
      <c r="B12" s="5" t="str">
        <f>IF(OR(Home!$D$7="",Home!$D$8="No"),"",IF(ISBLANK(HLOOKUP(Home!$D$7,$D$2:$F$99,ROW(A11),FALSE)),"",IF(H12="",HLOOKUP(Home!$D$7,$D$2:$F$99,ROW(A11),FALSE),IF(C12=FALSE,"C"))))</f>
        <v/>
      </c>
      <c r="C12" s="5" t="b">
        <f>ISNUMBER(H12+0)</f>
        <v>1</v>
      </c>
      <c r="D12" s="15" t="str">
        <f>IF(COUNTIF($B$4:$B$7,"R")&gt;0,"",IF($H$5="Yes","Y","R"))</f>
        <v>R</v>
      </c>
      <c r="E12" s="13"/>
      <c r="F12" s="15"/>
      <c r="G12" s="9" t="s">
        <v>15</v>
      </c>
      <c r="H12" s="25"/>
    </row>
    <row r="13" spans="2:10" x14ac:dyDescent="0.35">
      <c r="B13" s="5" t="str">
        <f>IF(OR(Home!$D$7="",Home!$D$8="No"),"",IF(ISBLANK(HLOOKUP(Home!$D$7,$D$2:$F$99,ROW(A12),FALSE)),"",IF(H13="",HLOOKUP(Home!$D$7,$D$2:$F$99,ROW(A12),FALSE),IF(C13=FALSE,"C"))))</f>
        <v/>
      </c>
      <c r="C13" s="5" t="b">
        <v>1</v>
      </c>
      <c r="D13" s="15" t="str">
        <f t="shared" ref="D13:D18" si="1">IF(COUNTIF($B$4:$B$7,"R")&gt;0,"",IF($H$5="Yes","Y","R"))</f>
        <v>R</v>
      </c>
      <c r="E13" s="15"/>
      <c r="F13" s="15"/>
      <c r="G13" s="9" t="s">
        <v>1</v>
      </c>
      <c r="H13" s="25"/>
    </row>
    <row r="14" spans="2:10" x14ac:dyDescent="0.35">
      <c r="B14" s="5" t="str">
        <f>IF(OR(Home!$D$7="",Home!$D$8="No"),"",IF(ISBLANK(HLOOKUP(Home!$D$7,$D$2:$F$99,ROW(A13),FALSE)),"",IF(H14="",HLOOKUP(Home!$D$7,$D$2:$F$99,ROW(A13),FALSE),IF(C14=FALSE,"C"))))</f>
        <v/>
      </c>
      <c r="C14" s="5" t="b">
        <f>AND(ISNUMBER(H14+0),LEFT(H14,1)="1")</f>
        <v>0</v>
      </c>
      <c r="D14" s="15" t="str">
        <f t="shared" si="1"/>
        <v>R</v>
      </c>
      <c r="E14" s="15"/>
      <c r="F14" s="15"/>
      <c r="G14" s="9" t="s">
        <v>3</v>
      </c>
      <c r="H14" s="25"/>
    </row>
    <row r="15" spans="2:10" x14ac:dyDescent="0.35">
      <c r="B15" s="5" t="str">
        <f>IF(OR(Home!$D$7="",Home!$D$8="No"),"",IF(ISBLANK(HLOOKUP(Home!$D$7,$D$2:$F$99,ROW(A14),FALSE)),"",IF(H15="",HLOOKUP(Home!$D$7,$D$2:$F$99,ROW(A14),FALSE),IF(C15=FALSE,"C"))))</f>
        <v/>
      </c>
      <c r="C15" s="5" t="b">
        <f>IF(H15="",TRUE,ISNUMBER(FIND("@",H15,1)+FIND(".",H15,1)))</f>
        <v>1</v>
      </c>
      <c r="D15" s="15" t="str">
        <f t="shared" si="1"/>
        <v>R</v>
      </c>
      <c r="E15" s="15"/>
      <c r="F15" s="15"/>
      <c r="G15" s="9" t="s">
        <v>4</v>
      </c>
      <c r="H15" s="26"/>
    </row>
    <row r="16" spans="2:10" x14ac:dyDescent="0.35">
      <c r="B16" s="5" t="str">
        <f>IF(OR(Home!$D$7="",Home!$D$8="No"),"",IF(ISBLANK(HLOOKUP(Home!$D$7,$D$2:$F$99,ROW(A15),FALSE)),"",IF(H16="",HLOOKUP(Home!$D$7,$D$2:$F$99,ROW(A15),FALSE),IF(C16=FALSE,"C"))))</f>
        <v/>
      </c>
      <c r="C16" s="5" t="b">
        <v>1</v>
      </c>
      <c r="D16" s="15" t="str">
        <f t="shared" si="1"/>
        <v>R</v>
      </c>
      <c r="E16" s="15"/>
      <c r="F16" s="15"/>
      <c r="G16" s="9" t="s">
        <v>1056</v>
      </c>
      <c r="H16" s="25"/>
    </row>
    <row r="17" spans="2:8" x14ac:dyDescent="0.35">
      <c r="B17" s="5" t="str">
        <f>IF(OR(Home!$D$7="",Home!$D$8="No"),"",IF(ISBLANK(HLOOKUP(Home!$D$7,$D$2:$F$99,ROW(A16),FALSE)),"",IF(H17="",HLOOKUP(Home!$D$7,$D$2:$F$99,ROW(A16),FALSE),IF(C17=FALSE,"C"))))</f>
        <v/>
      </c>
      <c r="C17" s="5" t="b">
        <f>ISNUMBER(H17+0)</f>
        <v>1</v>
      </c>
      <c r="D17" s="15" t="str">
        <f>IF(COUNTIF($B$4:$B$7,"R")&gt;0,"",IF(OR($H$5="Yes",H16=""),"Y","R"))</f>
        <v>Y</v>
      </c>
      <c r="E17" s="15"/>
      <c r="F17" s="15"/>
      <c r="G17" s="9" t="str">
        <f>IF(OR(Home!$D$7="Study Participant",Home!$D$7="Individual"),"Social Security Number (SSN) (9 Digits):",IF(H16="","",$H$16&amp;" (9 Digits) :"))</f>
        <v/>
      </c>
      <c r="H17" s="25"/>
    </row>
    <row r="18" spans="2:8" x14ac:dyDescent="0.35">
      <c r="B18" s="5" t="str">
        <f>IF(OR(Home!$D$7="",Home!$D$8="No"),"",IF(ISBLANK(HLOOKUP(Home!$D$7,$D$2:$F$99,ROW(A17),FALSE)),"",IF(H18="",HLOOKUP(Home!$D$7,$D$2:$F$99,ROW(A17),FALSE),IF(C18=FALSE,"C"))))</f>
        <v/>
      </c>
      <c r="C18" s="5" t="b">
        <v>1</v>
      </c>
      <c r="D18" s="15" t="str">
        <f t="shared" si="1"/>
        <v>R</v>
      </c>
      <c r="E18" s="15"/>
      <c r="F18" s="15"/>
      <c r="G18" s="9" t="s">
        <v>1057</v>
      </c>
      <c r="H18" s="25"/>
    </row>
    <row r="19" spans="2:8" x14ac:dyDescent="0.35">
      <c r="B19" s="5" t="str">
        <f>IF(OR(Home!$D$7="",Home!$D$8="No"),"",IF(ISBLANK(HLOOKUP(Home!$D$7,$D$2:$F$99,ROW(A18),FALSE)),"",IF(H19="",HLOOKUP(Home!$D$7,$D$2:$F$99,ROW(A18),FALSE),IF(C19=FALSE,"C"))))</f>
        <v/>
      </c>
      <c r="C19" s="5" t="b">
        <v>1</v>
      </c>
      <c r="D19" s="15" t="str">
        <f>IF(COUNTIF($B$4:$B$7,"R")&gt;0,"",IF($H$18="Limited Liability Company (LLC)","R","Y"))</f>
        <v>Y</v>
      </c>
      <c r="E19" s="15"/>
      <c r="F19" s="15"/>
      <c r="G19" s="9" t="str">
        <f>IF(H18="Limited Liability Company (LLC)","If LLC, Select Tax Classification:","")</f>
        <v/>
      </c>
      <c r="H19" s="25"/>
    </row>
    <row r="20" spans="2:8" x14ac:dyDescent="0.35">
      <c r="B20" s="5" t="str">
        <f>IF(OR(Home!$D$7="",Home!$D$8="No"),"",IF(ISBLANK(HLOOKUP(Home!$D$7,$D$2:$F$99,ROW(A19),FALSE)),"",IF(H20="",HLOOKUP(Home!$D$7,$D$2:$F$99,ROW(A19),FALSE),IF(C20=FALSE,"C"))))</f>
        <v/>
      </c>
      <c r="C20" s="5" t="b">
        <v>1</v>
      </c>
      <c r="D20" s="15" t="str">
        <f>IF(COUNTIF($B$4:$B$7,"R")&gt;0,"",IF(OR($H$5="Yes",$H$18="Individual"),"Y","R"))</f>
        <v>R</v>
      </c>
      <c r="E20" s="15"/>
      <c r="F20" s="15"/>
      <c r="G20" s="9" t="s">
        <v>1059</v>
      </c>
      <c r="H20" s="25"/>
    </row>
    <row r="21" spans="2:8" x14ac:dyDescent="0.35">
      <c r="B21" s="5" t="str">
        <f>IF(OR(Home!$D$7="",Home!$D$8="No"),"",IF(ISBLANK(HLOOKUP(Home!$D$7,$D$2:$F$99,ROW(A20),FALSE)),"",IF(H21="",HLOOKUP(Home!$D$7,$D$2:$F$99,ROW(A20),FALSE),IF(C21=FALSE,"C"))))</f>
        <v/>
      </c>
      <c r="C21" s="5" t="b">
        <v>1</v>
      </c>
      <c r="D21" s="15" t="str">
        <f t="shared" ref="D21:D25" si="2">IF(COUNTIF($B$4:$B$7,"R")&gt;0,"",IF(OR($H$5="Yes",$H$20="",$H$20="No",$H$20="Yes - Small Only"),"Y","R"))</f>
        <v>Y</v>
      </c>
      <c r="E21" s="15"/>
      <c r="F21" s="15"/>
      <c r="G21" s="9" t="str">
        <f>IF(OR($H$20="Yes - Small and Diverse",$H$20="Yes - Diverse Only"),"Indicate if Disadvantaged Business (DBE):","")</f>
        <v/>
      </c>
      <c r="H21" s="25"/>
    </row>
    <row r="22" spans="2:8" x14ac:dyDescent="0.35">
      <c r="B22" s="5" t="str">
        <f>IF(OR(Home!$D$7="",Home!$D$8="No"),"",IF(ISBLANK(HLOOKUP(Home!$D$7,$D$2:$F$99,ROW(A21),FALSE)),"",IF(H22="",HLOOKUP(Home!$D$7,$D$2:$F$99,ROW(A21),FALSE),IF(C22=FALSE,"C"))))</f>
        <v/>
      </c>
      <c r="C22" s="5" t="b">
        <v>1</v>
      </c>
      <c r="D22" s="15" t="str">
        <f t="shared" si="2"/>
        <v>Y</v>
      </c>
      <c r="E22" s="15"/>
      <c r="F22" s="15"/>
      <c r="G22" s="9" t="str">
        <f>IF(OR($H$20="Yes - Small and Diverse",$H$20="Yes - Diverse Only"),"Indicate if Woman-Owned Business (WBE):","")</f>
        <v/>
      </c>
      <c r="H22" s="25"/>
    </row>
    <row r="23" spans="2:8" x14ac:dyDescent="0.35">
      <c r="B23" s="5" t="str">
        <f>IF(OR(Home!$D$7="",Home!$D$8="No"),"",IF(ISBLANK(HLOOKUP(Home!$D$7,$D$2:$F$99,ROW(A22),FALSE)),"",IF(H23="",HLOOKUP(Home!$D$7,$D$2:$F$99,ROW(A22),FALSE),IF(C23=FALSE,"C"))))</f>
        <v/>
      </c>
      <c r="C23" s="5" t="b">
        <v>1</v>
      </c>
      <c r="D23" s="15" t="str">
        <f t="shared" si="2"/>
        <v>Y</v>
      </c>
      <c r="E23" s="15"/>
      <c r="F23" s="15"/>
      <c r="G23" s="9" t="str">
        <f>IF(OR($H$20="Yes - Small and Diverse",$H$20="Yes - Diverse Only"),"Indicate if Minority Owned Business (MBE):","")</f>
        <v/>
      </c>
      <c r="H23" s="25"/>
    </row>
    <row r="24" spans="2:8" x14ac:dyDescent="0.35">
      <c r="B24" s="5" t="str">
        <f>IF(OR(Home!$D$7="",Home!$D$8="No"),"",IF(ISBLANK(HLOOKUP(Home!$D$7,$D$2:$F$99,ROW(A23),FALSE)),"",IF(H24="",HLOOKUP(Home!$D$7,$D$2:$F$99,ROW(A23),FALSE),IF(C24=FALSE,"C"))))</f>
        <v/>
      </c>
      <c r="C24" s="5" t="b">
        <v>1</v>
      </c>
      <c r="D24" s="15" t="str">
        <f t="shared" si="2"/>
        <v>Y</v>
      </c>
      <c r="E24" s="15"/>
      <c r="F24" s="15"/>
      <c r="G24" s="9" t="str">
        <f>IF(OR($H$20="Yes - Small and Diverse",$H$20="Yes - Diverse Only"),"Indicate if Veteran Owned Business (VBE):","")</f>
        <v/>
      </c>
      <c r="H24" s="25"/>
    </row>
    <row r="25" spans="2:8" ht="32.25" customHeight="1" x14ac:dyDescent="0.35">
      <c r="B25" s="5" t="str">
        <f>IF(OR(Home!$D$7="",Home!$D$8="No"),"",IF(ISBLANK(HLOOKUP(Home!$D$7,$D$2:$F$99,ROW(A24),FALSE)),"",IF(H25="",HLOOKUP(Home!$D$7,$D$2:$F$99,ROW(A24),FALSE),IF(C25=FALSE,"C"))))</f>
        <v/>
      </c>
      <c r="C25" s="5" t="b">
        <v>1</v>
      </c>
      <c r="D25" s="15" t="str">
        <f t="shared" si="2"/>
        <v>Y</v>
      </c>
      <c r="E25" s="15"/>
      <c r="F25" s="15"/>
      <c r="G25" s="9" t="str">
        <f>IF(OR($H$20="Yes - Small and Diverse",$H$20="Yes - Diverse Only"),"Indicate if Historically Black Colleges / Universities &amp; Minority Institutions:","")</f>
        <v/>
      </c>
      <c r="H25" s="25"/>
    </row>
    <row r="26" spans="2:8" x14ac:dyDescent="0.35">
      <c r="B26" s="5" t="str">
        <f>IF(OR(Home!$D$7="",Home!$D$8="No"),"",IF(ISBLANK(HLOOKUP(Home!$D$7,$D$2:$F$99,ROW(A25),FALSE)),"",IF(H26="",HLOOKUP(Home!$D$7,$D$2:$F$99,ROW(A25),FALSE),IF(C26=FALSE,"C"))))</f>
        <v/>
      </c>
      <c r="C26" s="5" t="b">
        <v>1</v>
      </c>
      <c r="D26" s="15" t="str">
        <f t="shared" ref="D26:D28" si="3">IF(COUNTIF($B$4:$B$7,"R")&gt;0,"",IF(OR($H$5="Yes",$H$20="",$H$20="No",$H$20="Yes - Small Only",$H$20="Yes - Diverse Only"),"Y","R"))</f>
        <v>Y</v>
      </c>
      <c r="E26" s="15"/>
      <c r="F26" s="15"/>
      <c r="G26" s="9" t="str">
        <f>IF(OR($H$20="Yes - Small and Diverse"),"Indicate if HUBZone Small Business (HUB Zone):","")</f>
        <v/>
      </c>
      <c r="H26" s="25"/>
    </row>
    <row r="27" spans="2:8" ht="33.75" customHeight="1" x14ac:dyDescent="0.35">
      <c r="B27" s="5" t="str">
        <f>IF(OR(Home!$D$7="",Home!$D$8="No"),"",IF(ISBLANK(HLOOKUP(Home!$D$7,$D$2:$F$99,ROW(A26),FALSE)),"",IF(H27="",HLOOKUP(Home!$D$7,$D$2:$F$99,ROW(A26),FALSE),IF(C27=FALSE,"C"))))</f>
        <v/>
      </c>
      <c r="C27" s="5" t="b">
        <v>1</v>
      </c>
      <c r="D27" s="15" t="str">
        <f t="shared" si="3"/>
        <v>Y</v>
      </c>
      <c r="E27" s="15"/>
      <c r="F27" s="15"/>
      <c r="G27" s="9" t="str">
        <f>IF(OR($H$20="Yes - Small and Diverse"),"Indicate if Service Disabled Veteran-Owned Small Business (SDVOSB):","")</f>
        <v/>
      </c>
      <c r="H27" s="25"/>
    </row>
    <row r="28" spans="2:8" ht="33.75" customHeight="1" x14ac:dyDescent="0.35">
      <c r="B28" s="5" t="str">
        <f>IF(OR(Home!$D$7="",Home!$D$8="No"),"",IF(ISBLANK(HLOOKUP(Home!$D$7,$D$2:$F$99,ROW(A27),FALSE)),"",IF(H28="",HLOOKUP(Home!$D$7,$D$2:$F$99,ROW(A27),FALSE),IF(C28=FALSE,"C"))))</f>
        <v/>
      </c>
      <c r="C28" s="5" t="b">
        <v>1</v>
      </c>
      <c r="D28" s="15" t="str">
        <f t="shared" si="3"/>
        <v>Y</v>
      </c>
      <c r="E28" s="15"/>
      <c r="F28" s="15"/>
      <c r="G28" s="9" t="str">
        <f>IF(OR($H$20="Yes - Small and Diverse"),"Indicate if Alaskan Native Corporations (ANCs) &amp; Indian Tribes):","")</f>
        <v/>
      </c>
      <c r="H28" s="25"/>
    </row>
    <row r="29" spans="2:8" ht="23.25" customHeight="1" x14ac:dyDescent="0.35">
      <c r="B29" s="5" t="str">
        <f>IF(OR(Home!$D$7="",Home!$D$8="No"),"",IF(ISBLANK(HLOOKUP(Home!$D$7,$D$2:$F$99,ROW(A28),FALSE)),"",IF(H29="",HLOOKUP(Home!$D$7,$D$2:$F$99,ROW(A28),FALSE),IF(C29=FALSE,"C"))))</f>
        <v/>
      </c>
      <c r="C29" s="5" t="b">
        <v>1</v>
      </c>
      <c r="D29" s="15" t="str">
        <f t="shared" ref="D29" si="4">IF(COUNTIF($B$4:$B$7,"R")&gt;0,"","Y")</f>
        <v>Y</v>
      </c>
      <c r="E29" s="15"/>
      <c r="F29" s="15"/>
      <c r="G29" s="46" t="s">
        <v>5</v>
      </c>
      <c r="H29" s="49"/>
    </row>
    <row r="30" spans="2:8" x14ac:dyDescent="0.35">
      <c r="B30" s="5" t="str">
        <f>IF(OR(Home!$D$7="",Home!$D$8="No"),"",IF(ISBLANK(HLOOKUP(Home!$D$7,$D$2:$F$99,ROW(A29),FALSE)),"",IF(H30="",HLOOKUP(Home!$D$7,$D$2:$F$99,ROW(A29),FALSE),IF(C30=FALSE,"C"))))</f>
        <v/>
      </c>
      <c r="C30" s="5" t="b">
        <v>1</v>
      </c>
      <c r="D30" s="15" t="str">
        <f t="shared" ref="D30" si="5">IF(COUNTIF($B$4:$B$7,"R")&gt;0,"",IF($H$5="Yes","Y","R"))</f>
        <v>R</v>
      </c>
      <c r="E30" s="15"/>
      <c r="F30" s="15"/>
      <c r="G30" s="9" t="s">
        <v>16</v>
      </c>
      <c r="H30" s="25"/>
    </row>
    <row r="31" spans="2:8" x14ac:dyDescent="0.35">
      <c r="B31" s="5" t="str">
        <f>IF(OR(Home!$D$7="",Home!$D$8="No"),"",IF(ISBLANK(HLOOKUP(Home!$D$7,$D$2:$F$99,ROW(A30),FALSE)),"",IF(H31="",HLOOKUP(Home!$D$7,$D$2:$F$99,ROW(A30),FALSE),IF(C31=FALSE,"C"))))</f>
        <v/>
      </c>
      <c r="C31" s="5" t="b">
        <v>1</v>
      </c>
      <c r="D31" s="15" t="str">
        <f t="shared" ref="D31" si="6">IF(COUNTIF($B$4:$B$7,"R")&gt;0,"","Y")</f>
        <v>Y</v>
      </c>
      <c r="E31" s="15"/>
      <c r="F31" s="15"/>
      <c r="G31" s="9" t="s">
        <v>17</v>
      </c>
      <c r="H31" s="25"/>
    </row>
    <row r="32" spans="2:8" x14ac:dyDescent="0.35">
      <c r="B32" s="5" t="str">
        <f>IF(OR(Home!$D$7="",Home!$D$8="No"),"",IF(ISBLANK(HLOOKUP(Home!$D$7,$D$2:$F$99,ROW(A31),FALSE)),"",IF(H32="",HLOOKUP(Home!$D$7,$D$2:$F$99,ROW(A31),FALSE),IF(C32=FALSE,"C"))))</f>
        <v/>
      </c>
      <c r="C32" s="5" t="b">
        <v>1</v>
      </c>
      <c r="D32" s="15" t="str">
        <f t="shared" ref="D32:D34" si="7">IF(COUNTIF($B$4:$B$7,"R")&gt;0,"",IF($H$5="Yes","Y","R"))</f>
        <v>R</v>
      </c>
      <c r="E32" s="15"/>
      <c r="F32" s="15"/>
      <c r="G32" s="9" t="s">
        <v>6</v>
      </c>
      <c r="H32" s="25"/>
    </row>
    <row r="33" spans="2:8" x14ac:dyDescent="0.35">
      <c r="B33" s="5" t="str">
        <f>IF(OR(Home!$D$7="",Home!$D$8="No"),"",IF(ISBLANK(HLOOKUP(Home!$D$7,$D$2:$F$99,ROW(A32),FALSE)),"",IF(H33="",HLOOKUP(Home!$D$7,$D$2:$F$99,ROW(A32),FALSE),IF(C33=FALSE,"C"))))</f>
        <v/>
      </c>
      <c r="C33" s="5" t="b">
        <v>1</v>
      </c>
      <c r="D33" s="15" t="str">
        <f t="shared" si="7"/>
        <v>R</v>
      </c>
      <c r="E33" s="15"/>
      <c r="F33" s="15"/>
      <c r="G33" s="9" t="s">
        <v>7</v>
      </c>
      <c r="H33" s="25"/>
    </row>
    <row r="34" spans="2:8" x14ac:dyDescent="0.35">
      <c r="B34" s="5" t="str">
        <f>IF(OR(Home!$D$7="",Home!$D$8="No"),"",IF(ISBLANK(HLOOKUP(Home!$D$7,$D$2:$F$99,ROW(A33),FALSE)),"",IF(H34="",HLOOKUP(Home!$D$7,$D$2:$F$99,ROW(A33),FALSE),IF(C34=FALSE,"C"))))</f>
        <v/>
      </c>
      <c r="C34" s="5" t="b">
        <v>1</v>
      </c>
      <c r="D34" s="15" t="str">
        <f t="shared" si="7"/>
        <v>R</v>
      </c>
      <c r="E34" s="15"/>
      <c r="F34" s="15"/>
      <c r="G34" s="9" t="s">
        <v>29</v>
      </c>
      <c r="H34" s="25"/>
    </row>
    <row r="35" spans="2:8" x14ac:dyDescent="0.35">
      <c r="B35" s="5" t="str">
        <f>IF(OR(Home!$D$7="",Home!$D$8="No"),"",IF(ISBLANK(HLOOKUP(Home!$D$7,$D$2:$F$99,ROW(A34),FALSE)),"",IF(H35="",HLOOKUP(Home!$D$7,$D$2:$F$99,ROW(A34),FALSE),IF(C35=FALSE,"C"))))</f>
        <v/>
      </c>
      <c r="C35" s="5" t="b">
        <f>AND(ISNUMBER(H35+0),LEFT(H35,1)="1")</f>
        <v>0</v>
      </c>
      <c r="D35" s="15" t="str">
        <f>IF(COUNTIF($B$4:$B$7,"R")&gt;0,"",IF($H$5="Yes","Y","R"))</f>
        <v>R</v>
      </c>
      <c r="E35" s="13"/>
      <c r="F35" s="15"/>
      <c r="G35" s="9" t="s">
        <v>10</v>
      </c>
      <c r="H35" s="25"/>
    </row>
    <row r="36" spans="2:8" x14ac:dyDescent="0.35">
      <c r="B36" s="5" t="str">
        <f>IF(OR(Home!$D$7="",Home!$D$8="No"),"",IF(ISBLANK(HLOOKUP(Home!$D$7,$D$2:$F$99,ROW(A35),FALSE)),"",IF(H36="",HLOOKUP(Home!$D$7,$D$2:$F$99,ROW(A35),FALSE),IF(C36=FALSE,"C"))))</f>
        <v/>
      </c>
      <c r="C36" s="5" t="b">
        <f>IF(H36="",TRUE,ISNUMBER(FIND("@",H36,1)+FIND(".",H36,1)))</f>
        <v>1</v>
      </c>
      <c r="D36" s="15" t="str">
        <f>IF(COUNTIF($B$4:$B$7,"R")&gt;0,"",IF($H$5="Yes","Y","R"))</f>
        <v>R</v>
      </c>
      <c r="E36" s="13"/>
      <c r="F36" s="15"/>
      <c r="G36" s="9" t="s">
        <v>9</v>
      </c>
      <c r="H36" s="25"/>
    </row>
    <row r="37" spans="2:8" ht="23.25" customHeight="1" x14ac:dyDescent="0.35">
      <c r="B37" s="5" t="str">
        <f>IF(OR(Home!$D$7="",Home!$D$8="No"),"",IF(ISBLANK(HLOOKUP(Home!$D$7,$D$2:$F$99,ROW(A36),FALSE)),"",IF(H37="",HLOOKUP(Home!$D$7,$D$2:$F$99,ROW(A36),FALSE),IF(C37=FALSE,"C"))))</f>
        <v/>
      </c>
      <c r="C37" s="5" t="b">
        <v>1</v>
      </c>
      <c r="D37" s="15" t="str">
        <f>IF(COUNTIF($B$4:$B$7,"R")&gt;0,"","Y")</f>
        <v>Y</v>
      </c>
      <c r="E37" s="13"/>
      <c r="F37" s="15"/>
      <c r="G37" s="46" t="s">
        <v>81</v>
      </c>
      <c r="H37" s="49"/>
    </row>
    <row r="38" spans="2:8" x14ac:dyDescent="0.35">
      <c r="B38" s="5" t="str">
        <f>IF(OR(Home!$D$7="",Home!$D$8="No"),"",IF(ISBLANK(HLOOKUP(Home!$D$7,$D$2:$F$99,ROW(A37),FALSE)),"",IF(H38="",HLOOKUP(Home!$D$7,$D$2:$F$99,ROW(A37),FALSE),IF(C38=FALSE,"C"))))</f>
        <v/>
      </c>
      <c r="C38" s="5" t="b">
        <v>1</v>
      </c>
      <c r="D38" s="15" t="str">
        <f>IF(COUNTIF($B$4:$B$7,"R")&gt;0,"",IF($H$5="Yes","Y","R"))</f>
        <v>R</v>
      </c>
      <c r="E38" s="13"/>
      <c r="F38" s="15"/>
      <c r="G38" s="9" t="s">
        <v>11</v>
      </c>
      <c r="H38" s="25"/>
    </row>
    <row r="39" spans="2:8" x14ac:dyDescent="0.35">
      <c r="B39" s="5" t="str">
        <f>IF(OR(Home!$D$7="",Home!$D$8="No"),"",IF(ISBLANK(HLOOKUP(Home!$D$7,$D$2:$F$99,ROW(A38),FALSE)),"",IF(H39="",HLOOKUP(Home!$D$7,$D$2:$F$99,ROW(A38),FALSE),IF(C39=FALSE,"C"))))</f>
        <v/>
      </c>
      <c r="C39" s="5" t="b">
        <f>IF(H39="",TRUE,ISNUMBER(FIND("@",H39,1)+FIND(".",H39,1)))</f>
        <v>1</v>
      </c>
      <c r="D39" s="15" t="str">
        <f>IF(COUNTIF($B$4:$B$7,"R")&gt;0,"",IF(LEFT($H$38,5)="Email","R","Y"))</f>
        <v>Y</v>
      </c>
      <c r="E39" s="13"/>
      <c r="F39" s="15"/>
      <c r="G39" s="9" t="str">
        <f>IF(LEFT($H$38,5)="Email","Email for Receiving Orders:","")</f>
        <v/>
      </c>
      <c r="H39" s="25"/>
    </row>
    <row r="40" spans="2:8" x14ac:dyDescent="0.35">
      <c r="B40" s="5" t="str">
        <f>IF(OR(Home!$D$7="",Home!$D$8="No"),"",IF(ISBLANK(HLOOKUP(Home!$D$7,$D$2:$F$99,ROW(A39),FALSE)),"",IF(H40="",HLOOKUP(Home!$D$7,$D$2:$F$99,ROW(A39),FALSE),IF(C40=FALSE,"C"))))</f>
        <v/>
      </c>
      <c r="C40" s="5" t="b">
        <f>ISNUMBER(H40+0)</f>
        <v>1</v>
      </c>
      <c r="D40" s="15" t="str">
        <f>IF(COUNTIF($B$4:$B$7,"R")&gt;0,"",IF($H$38="Fax","R","Y"))</f>
        <v>Y</v>
      </c>
      <c r="E40" s="13"/>
      <c r="F40" s="15"/>
      <c r="G40" s="9" t="str">
        <f>IF($H$38="Fax","Fax Number for Receiving Orders:","")</f>
        <v/>
      </c>
      <c r="H40" s="25"/>
    </row>
    <row r="41" spans="2:8" ht="29" x14ac:dyDescent="0.35">
      <c r="B41" s="5" t="str">
        <f>IF(OR(Home!$D$7="",Home!$D$8="No"),"",IF(ISBLANK(HLOOKUP(Home!$D$7,$D$2:$F$99,ROW(A40),FALSE)),"",IF(H41="",HLOOKUP(Home!$D$7,$D$2:$F$99,ROW(A40),FALSE),IF(C41=FALSE,"C"))))</f>
        <v/>
      </c>
      <c r="C41" s="5" t="b">
        <v>1</v>
      </c>
      <c r="D41" s="15" t="str">
        <f>IF(COUNTIF($B$4:$B$7,"R")&gt;0,"",IF($H$5="Yes","Y","R"))</f>
        <v>R</v>
      </c>
      <c r="E41" s="15"/>
      <c r="F41" s="15"/>
      <c r="G41" s="9" t="s">
        <v>1050</v>
      </c>
      <c r="H41" s="25"/>
    </row>
    <row r="42" spans="2:8" x14ac:dyDescent="0.35">
      <c r="B42" s="5" t="str">
        <f>IF(OR(Home!$D$7="",Home!$D$8="No"),"",IF(ISBLANK(HLOOKUP(Home!$D$7,$D$2:$F$99,ROW(A41),FALSE)),"",IF(H42="",HLOOKUP(Home!$D$7,$D$2:$F$99,ROW(A41),FALSE),IF(C42=FALSE,"C"))))</f>
        <v/>
      </c>
      <c r="C42" s="5" t="b">
        <v>1</v>
      </c>
      <c r="D42" s="15" t="str">
        <f>IF(COUNTIF($B$4:$B$7,"R")&gt;0,"",IF(OR($H$5="Yes",$H$41="Yes",$H$41=""),"Y","R"))</f>
        <v>Y</v>
      </c>
      <c r="E42" s="13"/>
      <c r="F42" s="15"/>
      <c r="G42" s="9" t="str">
        <f>IF($H$41="No","Address Line 1:","")</f>
        <v/>
      </c>
      <c r="H42" s="25"/>
    </row>
    <row r="43" spans="2:8" x14ac:dyDescent="0.35">
      <c r="B43" s="5" t="str">
        <f>IF(OR(Home!$D$7="",Home!$D$8="No"),"",IF(ISBLANK(HLOOKUP(Home!$D$7,$D$2:$F$99,ROW(A42),FALSE)),"",IF(H43="",HLOOKUP(Home!$D$7,$D$2:$F$99,ROW(A42),FALSE),IF(C43=FALSE,"C"))))</f>
        <v/>
      </c>
      <c r="C43" s="5" t="b">
        <v>1</v>
      </c>
      <c r="D43" s="15" t="str">
        <f>IF(COUNTIF($B$4:$B$7,"R")&gt;0,"","Y")</f>
        <v>Y</v>
      </c>
      <c r="E43" s="13"/>
      <c r="F43" s="15"/>
      <c r="G43" s="9" t="str">
        <f>IF($H$41="No","Address Line 2:","")</f>
        <v/>
      </c>
      <c r="H43" s="25"/>
    </row>
    <row r="44" spans="2:8" x14ac:dyDescent="0.35">
      <c r="B44" s="5" t="str">
        <f>IF(OR(Home!$D$7="",Home!$D$8="No"),"",IF(ISBLANK(HLOOKUP(Home!$D$7,$D$2:$F$99,ROW(A43),FALSE)),"",IF(H44="",HLOOKUP(Home!$D$7,$D$2:$F$99,ROW(A43),FALSE),IF(C44=FALSE,"C"))))</f>
        <v/>
      </c>
      <c r="C44" s="5" t="b">
        <v>1</v>
      </c>
      <c r="D44" s="15" t="str">
        <f>IF(COUNTIF($B$4:$B$7,"R")&gt;0,"",IF(OR($H$5="Yes",$H$41="Yes",$H$41=""),"Y","R"))</f>
        <v>Y</v>
      </c>
      <c r="E44" s="13"/>
      <c r="F44" s="15"/>
      <c r="G44" s="9" t="str">
        <f>IF($H$41="No","City:","")</f>
        <v/>
      </c>
      <c r="H44" s="25"/>
    </row>
    <row r="45" spans="2:8" x14ac:dyDescent="0.35">
      <c r="B45" s="5" t="str">
        <f>IF(OR(Home!$D$7="",Home!$D$8="No"),"",IF(ISBLANK(HLOOKUP(Home!$D$7,$D$2:$F$99,ROW(A44),FALSE)),"",IF(H45="",HLOOKUP(Home!$D$7,$D$2:$F$99,ROW(A44),FALSE),IF(C45=FALSE,"C"))))</f>
        <v/>
      </c>
      <c r="C45" s="5" t="b">
        <v>1</v>
      </c>
      <c r="D45" s="15" t="str">
        <f>IF(COUNTIF($B$4:$B$7,"R")&gt;0,"",IF(OR($H$5="Yes",$H$41="Yes",$H$41=""),"Y","R"))</f>
        <v>Y</v>
      </c>
      <c r="E45" s="13"/>
      <c r="F45" s="15"/>
      <c r="G45" s="9" t="str">
        <f>IF($H$41="No","State:","")</f>
        <v/>
      </c>
      <c r="H45" s="25"/>
    </row>
    <row r="46" spans="2:8" x14ac:dyDescent="0.35">
      <c r="B46" s="5" t="str">
        <f>IF(OR(Home!$D$7="",Home!$D$8="No"),"",IF(ISBLANK(HLOOKUP(Home!$D$7,$D$2:$F$99,ROW(A45),FALSE)),"",IF(H46="",HLOOKUP(Home!$D$7,$D$2:$F$99,ROW(A45),FALSE),IF(C46=FALSE,"C"))))</f>
        <v/>
      </c>
      <c r="C46" s="5" t="b">
        <v>1</v>
      </c>
      <c r="D46" s="15" t="str">
        <f>IF(COUNTIF($B$4:$B$7,"R")&gt;0,"",IF(OR($H$5="Yes",$H$41="Yes",$H$41=""),"Y","R"))</f>
        <v>Y</v>
      </c>
      <c r="E46" s="13"/>
      <c r="F46" s="15"/>
      <c r="G46" s="9" t="str">
        <f>IF($H$41="No","ZIP Code:","")</f>
        <v/>
      </c>
      <c r="H46" s="25"/>
    </row>
    <row r="47" spans="2:8" x14ac:dyDescent="0.35">
      <c r="B47" s="5" t="str">
        <f>IF(OR(Home!$D$7="",Home!$D$8="No"),"",IF(ISBLANK(HLOOKUP(Home!$D$7,$D$2:$F$99,ROW(A46),FALSE)),"",IF(H47="",HLOOKUP(Home!$D$7,$D$2:$F$99,ROW(A46),FALSE),IF(C47=FALSE,"C"))))</f>
        <v/>
      </c>
      <c r="C47" s="5" t="b">
        <f>AND(ISNUMBER(H47+0),LEFT(H47,1)="1")</f>
        <v>0</v>
      </c>
      <c r="D47" s="15" t="str">
        <f>IF(COUNTIF($B$4:$B$7,"R")&gt;0,"",IF(OR($H$5="Yes",$H$41="Yes",$H$41=""),"Y","R"))</f>
        <v>Y</v>
      </c>
      <c r="E47" s="13"/>
      <c r="F47" s="15"/>
      <c r="G47" s="9" t="str">
        <f>IF($H$41="No","Phone:","")</f>
        <v/>
      </c>
      <c r="H47" s="25"/>
    </row>
    <row r="48" spans="2:8" ht="23.25" customHeight="1" x14ac:dyDescent="0.35">
      <c r="B48" s="5" t="str">
        <f>IF(OR(Home!$D$7="",Home!$D$8="No"),"",IF(ISBLANK(HLOOKUP(Home!$D$7,$D$2:$F$99,ROW(A47),FALSE)),"",IF(H48="",HLOOKUP(Home!$D$7,$D$2:$F$99,ROW(A47),FALSE),IF(C48=FALSE,"C"))))</f>
        <v/>
      </c>
      <c r="C48" s="5" t="b">
        <v>1</v>
      </c>
      <c r="D48" s="15" t="str">
        <f t="shared" ref="D48" si="8">IF(COUNTIF($B$4:$B$7,"R")&gt;0,"","Y")</f>
        <v>Y</v>
      </c>
      <c r="E48" s="15"/>
      <c r="F48" s="15"/>
      <c r="G48" s="46" t="s">
        <v>80</v>
      </c>
      <c r="H48" s="49"/>
    </row>
    <row r="49" spans="2:8" ht="33.75" customHeight="1" x14ac:dyDescent="0.35">
      <c r="B49" s="5" t="str">
        <f>IF(OR(Home!$D$7="",Home!$D$8="No"),"",IF(ISBLANK(HLOOKUP(Home!$D$7,$D$2:$F$99,ROW(A48),FALSE)),"",IF(H49="",HLOOKUP(Home!$D$7,$D$2:$F$99,ROW(A48),FALSE),IF(C49=FALSE,"C"))))</f>
        <v/>
      </c>
      <c r="C49" s="5" t="b">
        <v>1</v>
      </c>
      <c r="D49" s="15" t="str">
        <f>IF(COUNTIF($B$4:$B$7,"R")&gt;0,"",IF($H$5="Yes","Y","R"))</f>
        <v>R</v>
      </c>
      <c r="E49" s="15"/>
      <c r="F49" s="15"/>
      <c r="G49" s="9" t="s">
        <v>1051</v>
      </c>
      <c r="H49" s="25"/>
    </row>
    <row r="50" spans="2:8" x14ac:dyDescent="0.35">
      <c r="B50" s="5" t="str">
        <f>IF(OR(Home!$D$7="",Home!$D$8="No"),"",IF(ISBLANK(HLOOKUP(Home!$D$7,$D$2:$F$99,ROW(A49),FALSE)),"",IF(H50="",HLOOKUP(Home!$D$7,$D$2:$F$99,ROW(A49),FALSE),IF(C50=FALSE,"C"))))</f>
        <v/>
      </c>
      <c r="C50" s="5" t="b">
        <v>1</v>
      </c>
      <c r="D50" s="15" t="str">
        <f>IF(COUNTIF($B$4:$B$7,"R")&gt;0,"",IF(OR($H$5="Yes",$H$49="Yes",$H$49=""),"Y","R"))</f>
        <v>Y</v>
      </c>
      <c r="E50" s="15"/>
      <c r="F50" s="15"/>
      <c r="G50" s="9" t="str">
        <f>IF($H$49="No","Address Line 1:","")</f>
        <v/>
      </c>
      <c r="H50" s="25"/>
    </row>
    <row r="51" spans="2:8" x14ac:dyDescent="0.35">
      <c r="B51" s="5" t="str">
        <f>IF(OR(Home!$D$7="",Home!$D$8="No"),"",IF(ISBLANK(HLOOKUP(Home!$D$7,$D$2:$F$99,ROW(A50),FALSE)),"",IF(H51="",HLOOKUP(Home!$D$7,$D$2:$F$99,ROW(A50),FALSE),IF(C51=FALSE,"C"))))</f>
        <v/>
      </c>
      <c r="C51" s="5" t="b">
        <v>1</v>
      </c>
      <c r="D51" s="15" t="str">
        <f t="shared" ref="D51" si="9">IF(COUNTIF($B$4:$B$7,"R")&gt;0,"","Y")</f>
        <v>Y</v>
      </c>
      <c r="E51" s="15"/>
      <c r="F51" s="15"/>
      <c r="G51" s="9" t="str">
        <f>IF($H$49="No","Address Line 2:","")</f>
        <v/>
      </c>
      <c r="H51" s="25"/>
    </row>
    <row r="52" spans="2:8" x14ac:dyDescent="0.35">
      <c r="B52" s="5" t="str">
        <f>IF(OR(Home!$D$7="",Home!$D$8="No"),"",IF(ISBLANK(HLOOKUP(Home!$D$7,$D$2:$F$99,ROW(A51),FALSE)),"",IF(H52="",HLOOKUP(Home!$D$7,$D$2:$F$99,ROW(A51),FALSE),IF(C52=FALSE,"C"))))</f>
        <v/>
      </c>
      <c r="C52" s="5" t="b">
        <v>1</v>
      </c>
      <c r="D52" s="15" t="str">
        <f t="shared" ref="D52:D56" si="10">IF(COUNTIF($B$4:$B$7,"R")&gt;0,"",IF(OR($H$5="Yes",$H$49="Yes",$H$49=""),"Y","R"))</f>
        <v>Y</v>
      </c>
      <c r="E52" s="15"/>
      <c r="F52" s="15"/>
      <c r="G52" s="9" t="str">
        <f>IF($H$49="No","City:","")</f>
        <v/>
      </c>
      <c r="H52" s="25"/>
    </row>
    <row r="53" spans="2:8" x14ac:dyDescent="0.35">
      <c r="B53" s="5" t="str">
        <f>IF(OR(Home!$D$7="",Home!$D$8="No"),"",IF(ISBLANK(HLOOKUP(Home!$D$7,$D$2:$F$99,ROW(A52),FALSE)),"",IF(H53="",HLOOKUP(Home!$D$7,$D$2:$F$99,ROW(A52),FALSE),IF(C53=FALSE,"C"))))</f>
        <v/>
      </c>
      <c r="C53" s="5" t="b">
        <v>1</v>
      </c>
      <c r="D53" s="15" t="str">
        <f t="shared" si="10"/>
        <v>Y</v>
      </c>
      <c r="E53" s="15"/>
      <c r="F53" s="15"/>
      <c r="G53" s="9" t="str">
        <f>IF($H$49="No","State:","")</f>
        <v/>
      </c>
      <c r="H53" s="25"/>
    </row>
    <row r="54" spans="2:8" x14ac:dyDescent="0.35">
      <c r="B54" s="5" t="str">
        <f>IF(OR(Home!$D$7="",Home!$D$8="No"),"",IF(ISBLANK(HLOOKUP(Home!$D$7,$D$2:$F$99,ROW(A53),FALSE)),"",IF(H54="",HLOOKUP(Home!$D$7,$D$2:$F$99,ROW(A53),FALSE),IF(C54=FALSE,"C"))))</f>
        <v/>
      </c>
      <c r="C54" s="5" t="b">
        <v>1</v>
      </c>
      <c r="D54" s="15" t="str">
        <f t="shared" si="10"/>
        <v>Y</v>
      </c>
      <c r="E54" s="15"/>
      <c r="F54" s="15"/>
      <c r="G54" s="9" t="str">
        <f>IF($H$49="No","ZIP Code:","")</f>
        <v/>
      </c>
      <c r="H54" s="25"/>
    </row>
    <row r="55" spans="2:8" x14ac:dyDescent="0.35">
      <c r="B55" s="5" t="str">
        <f>IF(OR(Home!$D$7="",Home!$D$8="No"),"",IF(ISBLANK(HLOOKUP(Home!$D$7,$D$2:$F$99,ROW(A54),FALSE)),"",IF(H55="",HLOOKUP(Home!$D$7,$D$2:$F$99,ROW(A54),FALSE),IF(C55=FALSE,"C"))))</f>
        <v/>
      </c>
      <c r="C55" s="5" t="b">
        <f>AND(ISNUMBER(H55+0),LEFT(H55,1)="1")</f>
        <v>0</v>
      </c>
      <c r="D55" s="15" t="str">
        <f t="shared" si="10"/>
        <v>Y</v>
      </c>
      <c r="E55" s="15"/>
      <c r="F55" s="15"/>
      <c r="G55" s="9" t="str">
        <f>IF($H$49="No","Phone:","")</f>
        <v/>
      </c>
      <c r="H55" s="25"/>
    </row>
    <row r="56" spans="2:8" x14ac:dyDescent="0.35">
      <c r="B56" s="5" t="str">
        <f>IF(OR(Home!$D$7="",Home!$D$8="No"),"",IF(ISBLANK(HLOOKUP(Home!$D$7,$D$2:$F$99,ROW(A55),FALSE)),"",IF(H56="",HLOOKUP(Home!$D$7,$D$2:$F$99,ROW(A55),FALSE),IF(C56=FALSE,"C"))))</f>
        <v/>
      </c>
      <c r="C56" s="5" t="b">
        <f>IF(H56="",TRUE,ISNUMBER(FIND("@",H56,1)+FIND(".",H56,1)))</f>
        <v>1</v>
      </c>
      <c r="D56" s="15" t="str">
        <f t="shared" si="10"/>
        <v>Y</v>
      </c>
      <c r="E56" s="15"/>
      <c r="F56" s="15"/>
      <c r="G56" s="9" t="str">
        <f>IF($H$49="No","Email:","")</f>
        <v/>
      </c>
      <c r="H56" s="25"/>
    </row>
    <row r="57" spans="2:8" ht="23.25" customHeight="1" x14ac:dyDescent="0.35">
      <c r="B57" s="5" t="str">
        <f>IF(OR(Home!$D$7="",Home!$D$8="No"),"",IF(ISBLANK(HLOOKUP(Home!$D$7,$D$2:$F$99,ROW(A56),FALSE)),"",IF(H57="",HLOOKUP(Home!$D$7,$D$2:$F$99,ROW(A56),FALSE),IF(C57=FALSE,"C"))))</f>
        <v/>
      </c>
      <c r="C57" s="5" t="b">
        <v>1</v>
      </c>
      <c r="D57" s="15" t="str">
        <f t="shared" ref="D57:D58" si="11">IF(COUNTIF($B$4:$B$7,"R")&gt;0,"","Y")</f>
        <v>Y</v>
      </c>
      <c r="E57" s="15"/>
      <c r="F57" s="15"/>
      <c r="G57" s="46" t="s">
        <v>12</v>
      </c>
      <c r="H57" s="49"/>
    </row>
    <row r="58" spans="2:8" x14ac:dyDescent="0.35">
      <c r="B58" s="5" t="str">
        <f>IF(OR(Home!$D$7="",Home!$D$8="No"),"",IF(ISBLANK(HLOOKUP(Home!$D$7,$D$2:$F$99,ROW(A57),FALSE)),"",IF(H58="",HLOOKUP(Home!$D$7,$D$2:$F$99,ROW(A57),FALSE),IF(C58=FALSE,"C"))))</f>
        <v/>
      </c>
      <c r="C58" s="5" t="b">
        <v>1</v>
      </c>
      <c r="D58" s="15" t="str">
        <f t="shared" si="11"/>
        <v>Y</v>
      </c>
      <c r="E58" s="15"/>
      <c r="F58" s="15"/>
      <c r="G58" s="47" t="s">
        <v>18</v>
      </c>
      <c r="H58" s="48"/>
    </row>
    <row r="59" spans="2:8" ht="43.5" x14ac:dyDescent="0.35">
      <c r="B59" s="5" t="str">
        <f>IF(OR(Home!$D$7="",Home!$D$8="No"),"",IF(ISBLANK(HLOOKUP(Home!$D$7,$D$2:$F$99,ROW(A58),FALSE)),"",IF(H59="",HLOOKUP(Home!$D$7,$D$2:$F$99,ROW(A58),FALSE),IF(C59=FALSE,"C"))))</f>
        <v/>
      </c>
      <c r="C59" s="5" t="b">
        <v>1</v>
      </c>
      <c r="D59" s="15" t="str">
        <f t="shared" ref="D59:D64" si="12">IF(COUNTIF($B$4:$B$7,"R")&gt;0,"",IF($H$5="Yes","Y","R"))</f>
        <v>R</v>
      </c>
      <c r="E59" s="15"/>
      <c r="F59" s="15"/>
      <c r="G59" s="9" t="s">
        <v>13</v>
      </c>
      <c r="H59" s="25"/>
    </row>
    <row r="60" spans="2:8" ht="87" x14ac:dyDescent="0.35">
      <c r="B60" s="5" t="str">
        <f>IF(OR(Home!$D$7="",Home!$D$8="No"),"",IF(ISBLANK(HLOOKUP(Home!$D$7,$D$2:$F$99,ROW(A59),FALSE)),"",IF(H60="",HLOOKUP(Home!$D$7,$D$2:$F$99,ROW(A59),FALSE),IF(C60=FALSE,"C"))))</f>
        <v/>
      </c>
      <c r="C60" s="5" t="b">
        <v>1</v>
      </c>
      <c r="D60" s="15" t="str">
        <f t="shared" si="12"/>
        <v>R</v>
      </c>
      <c r="E60" s="15"/>
      <c r="F60" s="15"/>
      <c r="G60" s="9" t="s">
        <v>1055</v>
      </c>
      <c r="H60" s="25"/>
    </row>
    <row r="61" spans="2:8" ht="43.5" x14ac:dyDescent="0.35">
      <c r="B61" s="5" t="str">
        <f>IF(OR(Home!$D$7="",Home!$D$8="No"),"",IF(ISBLANK(HLOOKUP(Home!$D$7,$D$2:$F$99,ROW(A60),FALSE)),"",IF(H61="",HLOOKUP(Home!$D$7,$D$2:$F$99,ROW(A60),FALSE),IF(C61=FALSE,"C"))))</f>
        <v/>
      </c>
      <c r="C61" s="5" t="b">
        <v>1</v>
      </c>
      <c r="D61" s="15" t="str">
        <f t="shared" si="12"/>
        <v>R</v>
      </c>
      <c r="E61" s="15"/>
      <c r="F61" s="15"/>
      <c r="G61" s="9" t="s">
        <v>1054</v>
      </c>
      <c r="H61" s="25"/>
    </row>
    <row r="62" spans="2:8" ht="87" x14ac:dyDescent="0.35">
      <c r="B62" s="5" t="str">
        <f>IF(OR(Home!$D$7="",Home!$D$8="No"),"",IF(ISBLANK(HLOOKUP(Home!$D$7,$D$2:$F$99,ROW(A61),FALSE)),"",IF(H62="",HLOOKUP(Home!$D$7,$D$2:$F$99,ROW(A61),FALSE),IF(C62=FALSE,"C"))))</f>
        <v/>
      </c>
      <c r="C62" s="5" t="b">
        <v>1</v>
      </c>
      <c r="D62" s="15" t="str">
        <f t="shared" si="12"/>
        <v>R</v>
      </c>
      <c r="E62" s="15"/>
      <c r="F62" s="15"/>
      <c r="G62" s="9" t="s">
        <v>96</v>
      </c>
      <c r="H62" s="25"/>
    </row>
    <row r="63" spans="2:8" x14ac:dyDescent="0.35">
      <c r="B63" s="5" t="str">
        <f>IF(OR(Home!$D$7="",Home!$D$8="No"),"",IF(ISBLANK(HLOOKUP(Home!$D$7,$D$2:$F$99,ROW(A62),FALSE)),"",IF(H63="",HLOOKUP(Home!$D$7,$D$2:$F$99,ROW(A62),FALSE),IF(C63=FALSE,"C"))))</f>
        <v/>
      </c>
      <c r="C63" s="5" t="b">
        <v>1</v>
      </c>
      <c r="D63" s="15" t="str">
        <f t="shared" si="12"/>
        <v>R</v>
      </c>
      <c r="E63" s="15"/>
      <c r="F63" s="15"/>
      <c r="G63" s="9" t="str">
        <f>IF(Home!$D$7="Company","5. Are you or any Officer, Owner or Partner in this company an employee of Emory University?",IF(Home!$D$7="Individual","5. Are you an employee of Emory University?",""))</f>
        <v/>
      </c>
      <c r="H63" s="25"/>
    </row>
    <row r="64" spans="2:8" ht="76.25" customHeight="1" x14ac:dyDescent="0.35">
      <c r="B64" s="5" t="str">
        <f>IF(OR(Home!$D$7="",Home!$D$8="No"),"",IF(ISBLANK(HLOOKUP(Home!$D$7,$D$2:$F$99,ROW(A63),FALSE)),"",IF(H64="",HLOOKUP(Home!$D$7,$D$2:$F$99,ROW(A63),FALSE),IF(C64=FALSE,"C"))))</f>
        <v/>
      </c>
      <c r="C64" s="5" t="b">
        <v>1</v>
      </c>
      <c r="D64" s="15" t="str">
        <f t="shared" si="12"/>
        <v>R</v>
      </c>
      <c r="E64" s="15"/>
      <c r="F64" s="15"/>
      <c r="G64" s="35" t="str">
        <f>HYPERLINK("https://emory.ellucid.com/documents/view/17693/?security=353f1df192117ef8139f94032abe5f3cd53a8395",CONCATENATE("6. Is a direct family member of any of the above an Emory University employee (spouse, partner, etc.)?"," Any existing or proposed relationship, transaction, or other event which may raise a conflict of interest is to be disclosed. For detail, click here:"))</f>
        <v>6. Is a direct family member of any of the above an Emory University employee (spouse, partner, etc.)? Any existing or proposed relationship, transaction, or other event which may raise a conflict of interest is to be disclosed. For detail, click here:</v>
      </c>
      <c r="H64" s="25"/>
    </row>
    <row r="65" spans="2:8" ht="30.75" customHeight="1" x14ac:dyDescent="0.35">
      <c r="B65" s="5" t="str">
        <f>IF(OR(Home!$D$7="",Home!$D$8="No"),"",IF(ISBLANK(HLOOKUP(Home!$D$7,$D$2:$F$99,ROW(A64),FALSE)),"",IF(H65="",HLOOKUP(Home!$D$7,$D$2:$F$99,ROW(A64),FALSE),IF(C65=FALSE,"C"))))</f>
        <v/>
      </c>
      <c r="C65" s="5" t="b">
        <v>1</v>
      </c>
      <c r="D65" s="15" t="str">
        <f>IF(COUNTIF($B$4:$B$7,"R")&gt;0,"",IF($H$64="Yes","R","Y"))</f>
        <v>Y</v>
      </c>
      <c r="E65" s="15"/>
      <c r="F65" s="15"/>
      <c r="G65" s="9" t="str">
        <f>IF($H$64="Yes","6a. Please provide the name of the direct family member who is an Emory University employee:","")</f>
        <v/>
      </c>
      <c r="H65" s="25"/>
    </row>
    <row r="66" spans="2:8" ht="30.75" customHeight="1" x14ac:dyDescent="0.35">
      <c r="B66" s="5" t="str">
        <f>IF(OR(Home!$D$7="",Home!$D$8="No"),"",IF(ISBLANK(HLOOKUP(Home!$D$7,$D$2:$F$99,ROW(A65),FALSE)),"",IF(H66="",HLOOKUP(Home!$D$7,$D$2:$F$99,ROW(A65),FALSE),IF(C66=FALSE,"C"))))</f>
        <v/>
      </c>
      <c r="C66" s="5" t="b">
        <v>1</v>
      </c>
      <c r="D66" s="15" t="str">
        <f>IF(COUNTIF($B$4:$B$7,"R")&gt;0,"",IF($H$64="Yes","R","Y"))</f>
        <v>Y</v>
      </c>
      <c r="E66" s="15"/>
      <c r="F66" s="15"/>
      <c r="G66" s="9" t="str">
        <f>IF($H$64="Yes","6b. Please provide the relationship of the direct family member to the Emory University Employee:","")</f>
        <v/>
      </c>
      <c r="H66" s="25"/>
    </row>
    <row r="67" spans="2:8" ht="58" x14ac:dyDescent="0.35">
      <c r="B67" s="5" t="str">
        <f>IF(OR(Home!$D$7="",Home!$D$8="No"),"",IF(ISBLANK(HLOOKUP(Home!$D$7,$D$2:$F$99,ROW(A66),FALSE)),"",IF(H67="",HLOOKUP(Home!$D$7,$D$2:$F$99,ROW(A66),FALSE),IF(C67=FALSE,"C"))))</f>
        <v/>
      </c>
      <c r="C67" s="5" t="b">
        <v>1</v>
      </c>
      <c r="D67" s="15" t="str">
        <f>IF(COUNTIF($B$4:$B$7,"R")&gt;0,"",IF($H$5="Yes","Y","R"))</f>
        <v>R</v>
      </c>
      <c r="E67" s="13"/>
      <c r="F67" s="15"/>
      <c r="G67" s="9" t="s">
        <v>1049</v>
      </c>
      <c r="H67" s="25"/>
    </row>
    <row r="68" spans="2:8" ht="45.75" customHeight="1" x14ac:dyDescent="0.35">
      <c r="B68" s="5" t="str">
        <f>IF(OR(Home!$D$7="",Home!$D$8="No"),"",IF(ISBLANK(HLOOKUP(Home!$D$7,$D$2:$F$99,ROW(A67),FALSE)),"",IF(H68="",HLOOKUP(Home!$D$7,$D$2:$F$99,ROW(A67),FALSE),IF(C68=FALSE,"C"))))</f>
        <v/>
      </c>
      <c r="C68" s="5" t="b">
        <f>IF(H68="",TRUE,ISNUMBER(FIND("@",H68,1)+FIND(".",H68,1)))</f>
        <v>1</v>
      </c>
      <c r="D68" s="15" t="str">
        <f>IF(COUNTIF($B$4:$B$7,"R")&gt;0,"",IF($H$67='Drop Down'!$D$2,"R","Y"))</f>
        <v>Y</v>
      </c>
      <c r="E68" s="13"/>
      <c r="F68" s="15"/>
      <c r="G68" s="9" t="str">
        <f>IF($H$67='Drop Down'!$D$2,"7a. Please provide the email address where you would want us to send the notification of our payment to you for SUA Payments.","")</f>
        <v/>
      </c>
      <c r="H68" s="26"/>
    </row>
    <row r="69" spans="2:8" ht="70.25" customHeight="1" x14ac:dyDescent="0.35">
      <c r="B69" s="5" t="str">
        <f>IF(OR(Home!$D$7="",Home!$D$8="No"),"",IF(ISBLANK(HLOOKUP(Home!$D$7,$D$2:$F$99,ROW(A68),FALSE)),"",IF(H69="",HLOOKUP(Home!$D$7,$D$2:$F$99,ROW(A68),FALSE),IF(C69=FALSE,"C"))))</f>
        <v/>
      </c>
      <c r="C69" s="5" t="b">
        <v>1</v>
      </c>
      <c r="D69" s="15" t="str">
        <f>IF(COUNTIF($B$4:$B$7,"R")&gt;0,"",IF(OR($H$5="Yes",$H$67="",RIGHT($H$67,8)="Program."),"Y","R"))</f>
        <v>Y</v>
      </c>
      <c r="E69" s="15"/>
      <c r="F69" s="15"/>
      <c r="G69" s="9" t="str">
        <f>IF(AND(Home!$D$7="Company",OR($H$67="",RIGHT($H$67,8)="Program.")),"",CONCATENATE("8. Do you want to be paid via ACH/Direct Deposit? If No is selected, payment will be remitted via check sent to the billing address provided above."," Please note that payments via check take significantly longer to process in comparision to ACH/Direct Deposit."))</f>
        <v>8. Do you want to be paid via ACH/Direct Deposit? If No is selected, payment will be remitted via check sent to the billing address provided above. Please note that payments via check take significantly longer to process in comparision to ACH/Direct Deposit.</v>
      </c>
      <c r="H69" s="25"/>
    </row>
    <row r="70" spans="2:8" ht="72.5" x14ac:dyDescent="0.35">
      <c r="B70" s="5" t="str">
        <f>IF(OR(Home!$D$7="",Home!$D$8="No"),"",IF(ISBLANK(HLOOKUP(Home!$D$7,$D$2:$F$99,ROW(A69),FALSE)),"",IF(H70="",HLOOKUP(Home!$D$7,$D$2:$F$99,ROW(A69),FALSE),IF(C70=FALSE,"C"))))</f>
        <v/>
      </c>
      <c r="C70" s="5" t="b">
        <v>1</v>
      </c>
      <c r="D70" s="15" t="str">
        <f>IF(COUNTIF($B$4:$B$7,"R")&gt;0,"",IF($H$5="Yes","Y","R"))</f>
        <v>R</v>
      </c>
      <c r="E70" s="13"/>
      <c r="F70" s="15"/>
      <c r="G70" s="9" t="s">
        <v>1048</v>
      </c>
      <c r="H70" s="25"/>
    </row>
    <row r="71" spans="2:8" ht="43.5" x14ac:dyDescent="0.35">
      <c r="B71" s="5" t="str">
        <f>IF(OR(Home!$D$7="",Home!$D$8="No"),"",IF(ISBLANK(HLOOKUP(Home!$D$7,$D$2:$F$99,ROW(A70),FALSE)),"",IF(H71="",HLOOKUP(Home!$D$7,$D$2:$F$99,ROW(A70),FALSE),IF(C71=FALSE,"C"))))</f>
        <v/>
      </c>
      <c r="C71" s="5" t="b">
        <v>1</v>
      </c>
      <c r="D71" s="15" t="str">
        <f t="shared" ref="D71:D73" si="13">IF(COUNTIF($B$4:$B$7,"R")&gt;0,"",IF($H$5="Yes","Y","R"))</f>
        <v>R</v>
      </c>
      <c r="E71" s="15"/>
      <c r="F71" s="15"/>
      <c r="G71" s="9" t="s">
        <v>82</v>
      </c>
      <c r="H71" s="25"/>
    </row>
    <row r="72" spans="2:8" ht="155.25" customHeight="1" x14ac:dyDescent="0.35">
      <c r="B72" s="5" t="str">
        <f>IF(OR(Home!$D$7="",Home!$D$8="No"),"",IF(ISBLANK(HLOOKUP(Home!$D$7,$D$2:$F$99,ROW(A71),FALSE)),"",IF(H72="",HLOOKUP(Home!$D$7,$D$2:$F$99,ROW(A71),FALSE),IF(C72=FALSE,"C"))))</f>
        <v/>
      </c>
      <c r="C72" s="1" t="b">
        <v>1</v>
      </c>
      <c r="D72" s="15" t="str">
        <f t="shared" si="13"/>
        <v>R</v>
      </c>
      <c r="E72" s="15"/>
      <c r="F72" s="15"/>
      <c r="G72"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72" s="32"/>
    </row>
    <row r="73" spans="2:8" ht="19.5" customHeight="1" x14ac:dyDescent="0.35">
      <c r="B73" s="5" t="str">
        <f>IF(OR(Home!$D$7="",Home!$D$8="No"),"",IF(ISBLANK(HLOOKUP(Home!$D$7,$D$2:$F$99,ROW(A72),FALSE)),"",IF(H73="",HLOOKUP(Home!$D$7,$D$2:$F$99,ROW(A72),FALSE),IF(C73=FALSE,"C"))))</f>
        <v/>
      </c>
      <c r="C73" s="5" t="b">
        <v>1</v>
      </c>
      <c r="D73" s="15" t="str">
        <f t="shared" si="13"/>
        <v>R</v>
      </c>
      <c r="E73" s="15"/>
      <c r="F73" s="15"/>
      <c r="G73" s="9" t="s">
        <v>101</v>
      </c>
      <c r="H73" s="27"/>
    </row>
    <row r="74" spans="2:8" ht="15" customHeight="1" x14ac:dyDescent="0.35">
      <c r="B74" s="5" t="str">
        <f>IF(OR(Home!$D$7="",Home!$D$8="No"),"",IF(ISBLANK(HLOOKUP(Home!$D$7,$D$2:$F$99,ROW(A73),FALSE)),"",IF(H74="",HLOOKUP(Home!$D$7,$D$2:$F$99,ROW(A73),FALSE),IF(C74=FALSE,"C"))))</f>
        <v/>
      </c>
      <c r="C74" s="5" t="b">
        <v>1</v>
      </c>
      <c r="D74" s="15" t="str">
        <f t="shared" ref="D74" si="14">IF(COUNTIF($B$4:$B$7,"R")&gt;0,"","Y")</f>
        <v>Y</v>
      </c>
      <c r="E74" s="15"/>
      <c r="F74" s="15"/>
      <c r="G74" s="46"/>
      <c r="H74" s="49"/>
    </row>
    <row r="75" spans="2:8" ht="26" x14ac:dyDescent="0.35">
      <c r="B75" s="5" t="str">
        <f>IF(OR(Home!$D$7="",Home!$D$8="No"),"",IF(ISBLANK(HLOOKUP(Home!$D$7,$D$2:$F$99,ROW(A74),FALSE)),"",IF(H75="",HLOOKUP(Home!$D$7,$D$2:$F$99,ROW(A74),FALSE),IF(C75=FALSE,"C"))))</f>
        <v/>
      </c>
      <c r="C75" s="1" t="b">
        <v>1</v>
      </c>
      <c r="D75" s="16" t="str">
        <f>IF(COUNTIF($B$4:$B$7,"R")&gt;0,"",IF(OR($H$5="Yes",$H$69="Yes"),"Y",""))</f>
        <v/>
      </c>
      <c r="E75" s="16"/>
      <c r="F75" s="14"/>
      <c r="G75" s="54" t="s">
        <v>95</v>
      </c>
      <c r="H75" s="54"/>
    </row>
    <row r="76" spans="2:8" x14ac:dyDescent="0.35">
      <c r="B76" s="5" t="str">
        <f>IF(OR(Home!$D$7="",Home!$D$8="No"),"",IF(ISBLANK(HLOOKUP(Home!$D$7,$D$2:$F$99,ROW(A75),FALSE)),"",IF(H76="",HLOOKUP(Home!$D$7,$D$2:$F$99,ROW(A75),FALSE),IF(C76=FALSE,"C"))))</f>
        <v/>
      </c>
      <c r="C76" s="1" t="b">
        <v>1</v>
      </c>
      <c r="D76" s="16" t="str">
        <f>IF(COUNTIF($B$4:$B$7,"R")&gt;0,"",IF(OR($H$5="Yes",$H$69="Yes"),"Y",""))</f>
        <v/>
      </c>
      <c r="E76" s="16"/>
      <c r="F76" s="14"/>
      <c r="G76" s="55" t="str">
        <f>Home!D7&amp;" Information"</f>
        <v xml:space="preserve"> Information</v>
      </c>
      <c r="H76" s="56"/>
    </row>
    <row r="77" spans="2:8" x14ac:dyDescent="0.35">
      <c r="B77" s="5" t="str">
        <f>IF(OR(Home!$D$7="",Home!$D$8="No"),"",IF(ISBLANK(HLOOKUP(Home!$D$7,$D$2:$F$99,ROW(A76),FALSE)),"",IF(H77="",HLOOKUP(Home!$D$7,$D$2:$F$99,ROW(A76),FALSE),IF(C77=FALSE,"C"))))</f>
        <v/>
      </c>
      <c r="C77" s="1" t="b">
        <v>1</v>
      </c>
      <c r="D77" s="16" t="str">
        <f>IF(COUNTIF($B$4:$B$7,"R")&gt;0,"",IF(OR($H$5="Yes",$H$69="Yes"),"R",""))</f>
        <v/>
      </c>
      <c r="E77" s="16"/>
      <c r="F77" s="14"/>
      <c r="G77" s="3" t="str">
        <f>Home!D7&amp;" Name:"</f>
        <v xml:space="preserve"> Name:</v>
      </c>
      <c r="H77" s="25"/>
    </row>
    <row r="78" spans="2:8" x14ac:dyDescent="0.35">
      <c r="B78" s="5" t="str">
        <f>IF(OR(Home!$D$7="",Home!$D$8="No"),"",IF(ISBLANK(HLOOKUP(Home!$D$7,$D$2:$F$99,ROW(A77),FALSE)),"",IF(H78="",HLOOKUP(Home!$D$7,$D$2:$F$99,ROW(A77),FALSE),IF(C78=FALSE,"C"))))</f>
        <v/>
      </c>
      <c r="C78" s="1" t="b">
        <v>1</v>
      </c>
      <c r="D78" s="16" t="str">
        <f t="shared" ref="D78:D83" si="15">IF(COUNTIF($B$4:$B$7,"R")&gt;0,"",IF(OR($H$5="Yes",$H$69="Yes"),"R",""))</f>
        <v/>
      </c>
      <c r="E78" s="14"/>
      <c r="F78" s="14"/>
      <c r="G78" s="3" t="str">
        <f>Home!D7&amp;" Division Name:"</f>
        <v xml:space="preserve"> Division Name:</v>
      </c>
      <c r="H78" s="25"/>
    </row>
    <row r="79" spans="2:8" x14ac:dyDescent="0.35">
      <c r="B79" s="5" t="str">
        <f>IF(OR(Home!$D$7="",Home!$D$8="No"),"",IF(ISBLANK(HLOOKUP(Home!$D$7,$D$2:$F$99,ROW(A78),FALSE)),"",IF(H79="",HLOOKUP(Home!$D$7,$D$2:$F$99,ROW(A78),FALSE),IF(C79=FALSE,"C"))))</f>
        <v/>
      </c>
      <c r="C79" s="5" t="b">
        <f>ISNUMBER(H79+0)</f>
        <v>1</v>
      </c>
      <c r="D79" s="16" t="str">
        <f t="shared" si="15"/>
        <v/>
      </c>
      <c r="E79" s="13"/>
      <c r="F79" s="13"/>
      <c r="G79" s="9" t="s">
        <v>15</v>
      </c>
      <c r="H79" s="25"/>
    </row>
    <row r="80" spans="2:8" x14ac:dyDescent="0.35">
      <c r="B80" s="5" t="str">
        <f>IF(OR(Home!$D$7="",Home!$D$8="No"),"",IF(ISBLANK(HLOOKUP(Home!$D$7,$D$2:$F$99,ROW(A79),FALSE)),"",IF(H80="",HLOOKUP(Home!$D$7,$D$2:$F$99,ROW(A79),FALSE),IF(C80=FALSE,"C"))))</f>
        <v/>
      </c>
      <c r="C80" s="5" t="b">
        <f>ISNUMBER(H80+0)</f>
        <v>1</v>
      </c>
      <c r="D80" s="16" t="str">
        <f t="shared" si="15"/>
        <v/>
      </c>
      <c r="E80" s="16"/>
      <c r="F80" s="15"/>
      <c r="G80" s="9" t="str">
        <f>IF(OR(Home!$D$7="Study Participant",Home!$D$7="Individual"),"Social Security Number (9 Digits):","Taxpayer Identification Number (9 Digits):")</f>
        <v>Taxpayer Identification Number (9 Digits):</v>
      </c>
      <c r="H80" s="25"/>
    </row>
    <row r="81" spans="2:8" x14ac:dyDescent="0.35">
      <c r="B81" s="5" t="str">
        <f>IF(OR(Home!$D$7="",Home!$D$8="No"),"",IF(ISBLANK(HLOOKUP(Home!$D$7,$D$2:$F$99,ROW(A80),FALSE)),"",IF(H81="",HLOOKUP(Home!$D$7,$D$2:$F$99,ROW(A80),FALSE),IF(C81=FALSE,"C"))))</f>
        <v/>
      </c>
      <c r="C81" s="5" t="b">
        <v>1</v>
      </c>
      <c r="D81" s="16" t="str">
        <f t="shared" si="15"/>
        <v/>
      </c>
      <c r="E81" s="16"/>
      <c r="F81" s="14"/>
      <c r="G81" s="3" t="str">
        <f>Home!D7&amp;" ACH Remittance Contact Name:"</f>
        <v xml:space="preserve"> ACH Remittance Contact Name:</v>
      </c>
      <c r="H81" s="25"/>
    </row>
    <row r="82" spans="2:8" x14ac:dyDescent="0.35">
      <c r="B82" s="5" t="str">
        <f>IF(OR(Home!$D$7="",Home!$D$8="No"),"",IF(ISBLANK(HLOOKUP(Home!$D$7,$D$2:$F$99,ROW(A81),FALSE)),"",IF(H82="",HLOOKUP(Home!$D$7,$D$2:$F$99,ROW(A81),FALSE),IF(C82=FALSE,"C"))))</f>
        <v/>
      </c>
      <c r="C82" s="5" t="b">
        <f>AND(ISNUMBER(H82+0),LEFT(H82,1)="1")</f>
        <v>0</v>
      </c>
      <c r="D82" s="16" t="str">
        <f t="shared" si="15"/>
        <v/>
      </c>
      <c r="E82" s="16"/>
      <c r="F82" s="14"/>
      <c r="G82" s="3" t="str">
        <f>Home!D7&amp;" ACH Remittance Contact Phone:"</f>
        <v xml:space="preserve"> ACH Remittance Contact Phone:</v>
      </c>
      <c r="H82" s="25"/>
    </row>
    <row r="83" spans="2:8" x14ac:dyDescent="0.35">
      <c r="B83" s="5" t="str">
        <f>IF(OR(Home!$D$7="",Home!$D$8="No"),"",IF(ISBLANK(HLOOKUP(Home!$D$7,$D$2:$F$99,ROW(A82),FALSE)),"",IF(H83="",HLOOKUP(Home!$D$7,$D$2:$F$99,ROW(A82),FALSE),IF(C83=FALSE,"C"))))</f>
        <v/>
      </c>
      <c r="C83" s="5" t="b">
        <f>IF(H83="",TRUE,ISNUMBER(FIND("@",H83,1)+FIND(".",H83,1)))</f>
        <v>1</v>
      </c>
      <c r="D83" s="16" t="str">
        <f t="shared" si="15"/>
        <v/>
      </c>
      <c r="E83" s="16"/>
      <c r="F83" s="14"/>
      <c r="G83" s="3" t="str">
        <f>Home!D7&amp;" ACH Remittance Email:"</f>
        <v xml:space="preserve"> ACH Remittance Email:</v>
      </c>
      <c r="H83" s="26"/>
    </row>
    <row r="84" spans="2:8" x14ac:dyDescent="0.35">
      <c r="B84" s="5" t="str">
        <f>IF(OR(Home!$D$7="",Home!$D$8="No"),"",IF(ISBLANK(HLOOKUP(Home!$D$7,$D$2:$F$99,ROW(A83),FALSE)),"",IF(H84="",HLOOKUP(Home!$D$7,$D$2:$F$99,ROW(A83),FALSE),IF(C84=FALSE,"C"))))</f>
        <v/>
      </c>
      <c r="C84" s="1" t="b">
        <v>1</v>
      </c>
      <c r="D84" s="16" t="str">
        <f>IF(COUNTIF($B$4:$B$7,"R")&gt;0,"",IF(OR($H$5="Yes",$H$69="Yes"),"Y",""))</f>
        <v/>
      </c>
      <c r="E84" s="16"/>
      <c r="F84" s="14"/>
      <c r="G84" s="55" t="str">
        <f>Home!D7&amp;" Remittance Address"</f>
        <v xml:space="preserve"> Remittance Address</v>
      </c>
      <c r="H84" s="56"/>
    </row>
    <row r="85" spans="2:8" x14ac:dyDescent="0.35">
      <c r="B85" s="5" t="str">
        <f>IF(OR(Home!$D$7="",Home!$D$8="No"),"",IF(ISBLANK(HLOOKUP(Home!$D$7,$D$2:$F$99,ROW(A84),FALSE)),"",IF(H85="",HLOOKUP(Home!$D$7,$D$2:$F$99,ROW(A84),FALSE),IF(C85=FALSE,"C"))))</f>
        <v/>
      </c>
      <c r="C85" s="5" t="b">
        <v>1</v>
      </c>
      <c r="D85" s="16" t="str">
        <f>IF(COUNTIF($B$4:$B$7,"R")&gt;0,"",IF(OR($H$5="Yes",$H$69="Yes"),"R",""))</f>
        <v/>
      </c>
      <c r="E85" s="16"/>
      <c r="F85" s="14"/>
      <c r="G85" s="3" t="str">
        <f>Home!D7&amp;" Remittance Address Line 1:"</f>
        <v xml:space="preserve"> Remittance Address Line 1:</v>
      </c>
      <c r="H85" s="25"/>
    </row>
    <row r="86" spans="2:8" x14ac:dyDescent="0.35">
      <c r="B86" s="5" t="str">
        <f>IF(OR(Home!$D$7="",Home!$D$8="No"),"",IF(ISBLANK(HLOOKUP(Home!$D$7,$D$2:$F$99,ROW(A85),FALSE)),"",IF(H86="",HLOOKUP(Home!$D$7,$D$2:$F$99,ROW(A85),FALSE),IF(C86=FALSE,"C"))))</f>
        <v/>
      </c>
      <c r="C86" s="5" t="b">
        <v>1</v>
      </c>
      <c r="D86" s="16" t="str">
        <f>IF(COUNTIF($B$4:$B$7,"R")&gt;0,"",IF(OR($H$5="Yes",$H$69="Yes"),"Y",""))</f>
        <v/>
      </c>
      <c r="E86" s="16"/>
      <c r="F86" s="14"/>
      <c r="G86" s="3" t="str">
        <f>Home!D7&amp;" Remittance Address Line 2:"</f>
        <v xml:space="preserve"> Remittance Address Line 2:</v>
      </c>
      <c r="H86" s="25"/>
    </row>
    <row r="87" spans="2:8" x14ac:dyDescent="0.35">
      <c r="B87" s="5" t="str">
        <f>IF(OR(Home!$D$7="",Home!$D$8="No"),"",IF(ISBLANK(HLOOKUP(Home!$D$7,$D$2:$F$99,ROW(A86),FALSE)),"",IF(H87="",HLOOKUP(Home!$D$7,$D$2:$F$99,ROW(A86),FALSE),IF(C87=FALSE,"C"))))</f>
        <v/>
      </c>
      <c r="C87" s="5" t="b">
        <v>1</v>
      </c>
      <c r="D87" s="16" t="str">
        <f t="shared" ref="D87:D89" si="16">IF(COUNTIF($B$4:$B$7,"R")&gt;0,"",IF(OR($H$5="Yes",$H$69="Yes"),"R",""))</f>
        <v/>
      </c>
      <c r="E87" s="16"/>
      <c r="F87" s="14"/>
      <c r="G87" s="3" t="s">
        <v>6</v>
      </c>
      <c r="H87" s="25"/>
    </row>
    <row r="88" spans="2:8" x14ac:dyDescent="0.35">
      <c r="B88" s="5" t="str">
        <f>IF(OR(Home!$D$7="",Home!$D$8="No"),"",IF(ISBLANK(HLOOKUP(Home!$D$7,$D$2:$F$99,ROW(A87),FALSE)),"",IF(H88="",HLOOKUP(Home!$D$7,$D$2:$F$99,ROW(A87),FALSE),IF(C88=FALSE,"C"))))</f>
        <v/>
      </c>
      <c r="C88" s="5" t="b">
        <v>1</v>
      </c>
      <c r="D88" s="16" t="str">
        <f t="shared" si="16"/>
        <v/>
      </c>
      <c r="E88" s="16"/>
      <c r="F88" s="14"/>
      <c r="G88" s="3" t="s">
        <v>7</v>
      </c>
      <c r="H88" s="25"/>
    </row>
    <row r="89" spans="2:8" x14ac:dyDescent="0.35">
      <c r="B89" s="5" t="str">
        <f>IF(OR(Home!$D$7="",Home!$D$8="No"),"",IF(ISBLANK(HLOOKUP(Home!$D$7,$D$2:$F$99,ROW(A88),FALSE)),"",IF(H89="",HLOOKUP(Home!$D$7,$D$2:$F$99,ROW(A88),FALSE),IF(C89=FALSE,"C"))))</f>
        <v/>
      </c>
      <c r="C89" s="5" t="b">
        <v>1</v>
      </c>
      <c r="D89" s="16" t="str">
        <f t="shared" si="16"/>
        <v/>
      </c>
      <c r="E89" s="16"/>
      <c r="F89" s="14"/>
      <c r="G89" s="3" t="s">
        <v>8</v>
      </c>
      <c r="H89" s="25"/>
    </row>
    <row r="90" spans="2:8" x14ac:dyDescent="0.35">
      <c r="B90" s="5" t="str">
        <f>IF(OR(Home!$D$7="",Home!$D$8="No"),"",IF(ISBLANK(HLOOKUP(Home!$D$7,$D$2:$F$99,ROW(A89),FALSE)),"",IF(H90="",HLOOKUP(Home!$D$7,$D$2:$F$99,ROW(A89),FALSE),IF(C90=FALSE,"C"))))</f>
        <v/>
      </c>
      <c r="C90" s="1" t="b">
        <v>1</v>
      </c>
      <c r="D90" s="16" t="str">
        <f>IF(COUNTIF($B$4:$B$7,"R")&gt;0,"",IF(OR($H$5="Yes",$H$69="Yes"),"Y",""))</f>
        <v/>
      </c>
      <c r="E90" s="16"/>
      <c r="F90" s="14"/>
      <c r="G90" s="55" t="s">
        <v>24</v>
      </c>
      <c r="H90" s="56"/>
    </row>
    <row r="91" spans="2:8" x14ac:dyDescent="0.35">
      <c r="B91" s="5" t="str">
        <f>IF(OR(Home!$D$7="",Home!$D$8="No"),"",IF(ISBLANK(HLOOKUP(Home!$D$7,$D$2:$F$99,ROW(A90),FALSE)),"",IF(H91="",HLOOKUP(Home!$D$7,$D$2:$F$99,ROW(A90),FALSE),IF(C91=FALSE,"C"))))</f>
        <v/>
      </c>
      <c r="C91" s="1" t="b">
        <v>1</v>
      </c>
      <c r="D91" s="16" t="str">
        <f t="shared" ref="D91:D93" si="17">IF(COUNTIF($B$4:$B$7,"R")&gt;0,"",IF(OR($H$5="Yes",$H$69="Yes"),"R",""))</f>
        <v/>
      </c>
      <c r="E91" s="16"/>
      <c r="F91" s="14"/>
      <c r="G91" s="3" t="s">
        <v>25</v>
      </c>
      <c r="H91" s="25"/>
    </row>
    <row r="92" spans="2:8" x14ac:dyDescent="0.35">
      <c r="B92" s="5" t="str">
        <f>IF(OR(Home!$D$7="",Home!$D$8="No"),"",IF(ISBLANK(HLOOKUP(Home!$D$7,$D$2:$F$99,ROW(A91),FALSE)),"",IF(H92="",HLOOKUP(Home!$D$7,$D$2:$F$99,ROW(A91),FALSE),IF(C92=FALSE,"C"))))</f>
        <v/>
      </c>
      <c r="C92" s="5" t="b">
        <f>ISNUMBER(H92+0)</f>
        <v>1</v>
      </c>
      <c r="D92" s="16" t="str">
        <f t="shared" si="17"/>
        <v/>
      </c>
      <c r="E92" s="16"/>
      <c r="F92" s="14"/>
      <c r="G92" s="3" t="s">
        <v>26</v>
      </c>
      <c r="H92" s="25"/>
    </row>
    <row r="93" spans="2:8" x14ac:dyDescent="0.35">
      <c r="B93" s="5" t="str">
        <f>IF(OR(Home!$D$7="",Home!$D$8="No"),"",IF(ISBLANK(HLOOKUP(Home!$D$7,$D$2:$F$99,ROW(A92),FALSE)),"",IF(H93="",HLOOKUP(Home!$D$7,$D$2:$F$99,ROW(A92),FALSE),IF(C93=FALSE,"C"))))</f>
        <v/>
      </c>
      <c r="C93" s="5" t="b">
        <f>ISNUMBER(H93+0)</f>
        <v>1</v>
      </c>
      <c r="D93" s="16" t="str">
        <f t="shared" si="17"/>
        <v/>
      </c>
      <c r="E93" s="16"/>
      <c r="F93" s="14"/>
      <c r="G93" s="3" t="s">
        <v>27</v>
      </c>
      <c r="H93" s="25"/>
    </row>
    <row r="94" spans="2:8" x14ac:dyDescent="0.35">
      <c r="B94" s="5" t="str">
        <f>IF(OR(Home!$D$7="",Home!$D$8="No"),"",IF(ISBLANK(HLOOKUP(Home!$D$7,$D$2:$F$99,ROW(A93),FALSE)),"",IF(H94="",HLOOKUP(Home!$D$7,$D$2:$F$99,ROW(A93),FALSE),IF(C94=FALSE,"C"))))</f>
        <v/>
      </c>
      <c r="C94" s="1" t="b">
        <v>1</v>
      </c>
      <c r="D94" s="16" t="str">
        <f>IF(COUNTIF($B$4:$B$7,"R")&gt;0,"",IF(OR($H$5="Yes",$H$69="Yes"),"Y",""))</f>
        <v/>
      </c>
      <c r="E94" s="16"/>
      <c r="F94" s="14"/>
      <c r="G94" s="55" t="str">
        <f>Home!D7&amp;" Authorization"</f>
        <v xml:space="preserve"> Authorization</v>
      </c>
      <c r="H94" s="56"/>
    </row>
    <row r="95" spans="2:8" x14ac:dyDescent="0.35">
      <c r="B95" s="5" t="str">
        <f>IF(OR(Home!$D$7="",Home!$D$8="No"),"",IF(ISBLANK(HLOOKUP(Home!$D$7,$D$2:$F$99,ROW(A94),FALSE)),"",IF(H95="",HLOOKUP(Home!$D$7,$D$2:$F$99,ROW(A94),FALSE),IF(C95=FALSE,"C"))))</f>
        <v/>
      </c>
      <c r="C95" s="1" t="b">
        <v>1</v>
      </c>
      <c r="D95" s="16" t="str">
        <f>IF(COUNTIF($B$4:$B$7,"R")&gt;0,"",IF(OR($H$5="Yes",$H$69="Yes"),"Y",""))</f>
        <v/>
      </c>
      <c r="E95" s="16"/>
      <c r="F95" s="14"/>
      <c r="G95" s="57" t="s">
        <v>94</v>
      </c>
      <c r="H95" s="58"/>
    </row>
    <row r="96" spans="2:8" ht="152.25" customHeight="1" x14ac:dyDescent="0.35">
      <c r="B96" s="5" t="str">
        <f>IF(OR(Home!$D$7="",Home!$D$8="No"),"",IF(ISBLANK(HLOOKUP(Home!$D$7,$D$2:$F$99,ROW(A95),FALSE)),"",IF(H96="",HLOOKUP(Home!$D$7,$D$2:$F$99,ROW(A95),FALSE),IF(C96=FALSE,"C"))))</f>
        <v/>
      </c>
      <c r="C96" s="1" t="b">
        <v>1</v>
      </c>
      <c r="D96" s="16" t="str">
        <f>IF(COUNTIF($B$4:$B$7,"R")&gt;0,"",IF(OR($H$5="Yes",$H$69="Yes"),"R",""))</f>
        <v/>
      </c>
      <c r="E96" s="16"/>
      <c r="F96" s="14"/>
      <c r="G96"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96" s="32"/>
    </row>
    <row r="97" spans="2:8" x14ac:dyDescent="0.35">
      <c r="B97" s="5" t="str">
        <f>IF(OR(Home!$D$7="",Home!$D$8="No"),"",IF(ISBLANK(HLOOKUP(Home!$D$7,$D$2:$F$99,ROW(A96),FALSE)),"",IF(H97="",HLOOKUP(Home!$D$7,$D$2:$F$99,ROW(A96),FALSE),IF(C97=FALSE,"C"))))</f>
        <v/>
      </c>
      <c r="C97" s="1" t="b">
        <v>1</v>
      </c>
      <c r="D97" s="16" t="str">
        <f>IF(COUNTIF($B$4:$B$7,"R")&gt;0,"",IF(OR($H$5="Yes",$H$69="Yes"),"R",""))</f>
        <v/>
      </c>
      <c r="E97" s="16"/>
      <c r="F97" s="14"/>
      <c r="G97" s="3" t="s">
        <v>101</v>
      </c>
      <c r="H97" s="27"/>
    </row>
    <row r="98" spans="2:8" x14ac:dyDescent="0.35">
      <c r="B98" s="5" t="str">
        <f>IF(OR(Home!$D$7="",Home!$D$8="No"),"",IF(ISBLANK(HLOOKUP(Home!$D$7,$D$2:$F$99,ROW(A97),FALSE)),"",IF(H98="",HLOOKUP(Home!$D$7,$D$2:$F$99,ROW(A97),FALSE),IF(C98=FALSE,"C"))))</f>
        <v/>
      </c>
      <c r="C98" s="1" t="b">
        <v>1</v>
      </c>
      <c r="D98" s="16" t="str">
        <f>IF(COUNTIF($B$4:$B$7,"R")&gt;0,"",IF(OR($H$5="Yes",$H$69="Yes"),"R",""))</f>
        <v/>
      </c>
      <c r="E98" s="14"/>
      <c r="F98" s="14"/>
      <c r="G98" s="3" t="s">
        <v>100</v>
      </c>
      <c r="H98" s="25"/>
    </row>
    <row r="99" spans="2:8" x14ac:dyDescent="0.35">
      <c r="B99" s="5" t="str">
        <f>IF(OR(Home!$D$7="",Home!$D$8="No"),"",IF(ISBLANK(HLOOKUP(Home!$D$7,$D$2:$F$99,ROW(A98),FALSE)),"",IF(H99="",HLOOKUP(Home!$D$7,$D$2:$F$99,ROW(A98),FALSE),IF(C99=FALSE,"C"))))</f>
        <v/>
      </c>
      <c r="C99" s="5" t="b">
        <f>AND(ISNUMBER(H99+0),LEFT(H99,1)="1")</f>
        <v>0</v>
      </c>
      <c r="D99" s="16" t="str">
        <f>IF(COUNTIF($B$4:$B$7,"R")&gt;0,"",IF(OR($H$5="Yes",$H$69="Yes"),"R",""))</f>
        <v/>
      </c>
      <c r="E99" s="14"/>
      <c r="F99" s="14"/>
      <c r="G99" s="3" t="s">
        <v>99</v>
      </c>
      <c r="H99" s="25"/>
    </row>
  </sheetData>
  <sheetProtection algorithmName="SHA-512" hashValue="hUqWq9aCsA6/ObCu4Ls4hDKIPjp3NjjIFc+t+GbwABw+XO/XHr5msePZnn3vLvq/v8Q1FPNy0GBVagbfK9lidQ==" saltValue="Ea7n1MMJVcuEVJ+gmBEbzg==" spinCount="100000" sheet="1" formatRows="0" selectLockedCells="1"/>
  <autoFilter ref="B2:F99" xr:uid="{306DB0EA-EB5A-4E84-8716-9E6116845EFE}"/>
  <mergeCells count="16">
    <mergeCell ref="G74:H74"/>
    <mergeCell ref="G75:H75"/>
    <mergeCell ref="G84:H84"/>
    <mergeCell ref="G90:H90"/>
    <mergeCell ref="G95:H95"/>
    <mergeCell ref="G94:H94"/>
    <mergeCell ref="G76:H76"/>
    <mergeCell ref="G58:H58"/>
    <mergeCell ref="G57:H57"/>
    <mergeCell ref="G3:H3"/>
    <mergeCell ref="G2:H2"/>
    <mergeCell ref="G29:H29"/>
    <mergeCell ref="G37:H37"/>
    <mergeCell ref="G48:H48"/>
    <mergeCell ref="G9:H9"/>
    <mergeCell ref="G8:H8"/>
  </mergeCells>
  <conditionalFormatting sqref="G2:H99">
    <cfRule type="expression" dxfId="19" priority="19">
      <formula>$B2=""</formula>
    </cfRule>
  </conditionalFormatting>
  <conditionalFormatting sqref="J2">
    <cfRule type="expression" dxfId="18" priority="57">
      <formula>$B2=""</formula>
    </cfRule>
  </conditionalFormatting>
  <conditionalFormatting sqref="G2:H2">
    <cfRule type="expression" dxfId="17" priority="78">
      <formula>LEFT($G$2,9)="Completed"</formula>
    </cfRule>
  </conditionalFormatting>
  <conditionalFormatting sqref="H3:H99">
    <cfRule type="expression" dxfId="16" priority="77">
      <formula>$B3="R"</formula>
    </cfRule>
    <cfRule type="expression" dxfId="15" priority="76">
      <formula>$B3="C"</formula>
    </cfRule>
  </conditionalFormatting>
  <dataValidations xWindow="910" yWindow="444" count="14">
    <dataValidation type="list" allowBlank="1" showInputMessage="1" showErrorMessage="1" sqref="H71 H69 H41 H49 H4:H6 H59:H64" xr:uid="{178CE21F-B8D9-4762-BCE9-65E72282FCFF}">
      <formula1>"Yes,No"</formula1>
    </dataValidation>
    <dataValidation type="list" allowBlank="1" showInputMessage="1" showErrorMessage="1" sqref="H38" xr:uid="{666955DC-D217-4FF0-AB07-3F382264D6DC}">
      <formula1>"Email (Plain Text Format),Email (HTML Format),Fax"</formula1>
    </dataValidation>
    <dataValidation type="list" allowBlank="1" showInputMessage="1" showErrorMessage="1" sqref="H16" xr:uid="{924DBD6D-36DA-4B2F-9522-8223A1E57229}">
      <formula1>"Employer Identification Number (EIN),Social Security Number (SSN)"</formula1>
    </dataValidation>
    <dataValidation type="list" allowBlank="1" showInputMessage="1" showErrorMessage="1" sqref="H19" xr:uid="{BF2DF699-81B5-470D-91E3-CCE7BBCD52EA}">
      <formula1>"C Corporation, S Corporation, Partnership"</formula1>
    </dataValidation>
    <dataValidation type="list" allowBlank="1" showInputMessage="1" showErrorMessage="1" sqref="H18" xr:uid="{FB1AF7C5-9CD2-4286-9D35-FECAB2A3D48C}">
      <formula1>"Sole Proprietor or Single Member LLC, C Corporation, S Corporation, Partnership, Trust/Estate, Limited Liability Company (LLC),Government,Non-Profit"</formula1>
    </dataValidation>
    <dataValidation type="textLength" allowBlank="1" showInputMessage="1" showErrorMessage="1" promptTitle="Phone Number" prompt="Requires 11 digits with no special characters and the first digit must start with the number 1." sqref="H14 H35 H47 H55 H82 H99" xr:uid="{91642694-23AB-4690-9B2B-3FC6F8608B3F}">
      <formula1>11</formula1>
      <formula2>11</formula2>
    </dataValidation>
    <dataValidation type="textLength" allowBlank="1" showInputMessage="1" showErrorMessage="1" promptTitle="DUNS Number" prompt="The DUNS Number is a Dun and Bradstreet 9 digit number with no special characters. If you do not know your DUNS number, you may look it up or request one at the following link https://www.dnb.com/duns-number.html" sqref="H12 H79" xr:uid="{CA5EE59B-64AE-408B-9B54-20033795DDF1}">
      <formula1>9</formula1>
      <formula2>9</formula2>
    </dataValidation>
    <dataValidation type="textLength" allowBlank="1" showInputMessage="1" showErrorMessage="1" promptTitle="TIN Number" prompt="This field requires 9 digits without any special characters._x000a__x000a_Example of Acceptable Format: _x000a_272786963_x000a__x000a_Example of Unacceptable Format: _x000a_272-78-6963" sqref="H17 H80" xr:uid="{93DCFC65-DCAD-4B41-BE10-551C007BA594}">
      <formula1>9</formula1>
      <formula2>9</formula2>
    </dataValidation>
    <dataValidation type="textLength" allowBlank="1" showInputMessage="1" showErrorMessage="1" promptTitle="Fax Number" prompt="Requires 11 digits with no special characters and the first digit must start with the number 1." sqref="H40" xr:uid="{B259903B-DF29-4A06-954F-6FCA7D1D151D}">
      <formula1>11</formula1>
      <formula2>11</formula2>
    </dataValidation>
    <dataValidation type="textLength" allowBlank="1" showInputMessage="1" showErrorMessage="1" promptTitle="Routing Number" prompt="This field requires 9 digits without any special characters." sqref="H92" xr:uid="{0B14B619-2681-414E-866A-C18F3A3475B9}">
      <formula1>9</formula1>
      <formula2>9</formula2>
    </dataValidation>
    <dataValidation type="list" allowBlank="1" showInputMessage="1" showErrorMessage="1" sqref="H5" xr:uid="{2B3F96D7-A0E9-4FE4-A2ED-515BD5C9387E}">
      <formula1>"New,Update"</formula1>
    </dataValidation>
    <dataValidation type="list" allowBlank="1" showInputMessage="1" showErrorMessage="1" sqref="H70" xr:uid="{FDEE90A0-DD38-474E-8F0A-048E5D4E352E}">
      <formula1>"My company is already registered with SAM,My company plans to regiser with SAM,My company does not plan to regiser with SAM"</formula1>
    </dataValidation>
    <dataValidation type="list" allowBlank="1" showInputMessage="1" showErrorMessage="1" sqref="H20" xr:uid="{D0013257-211C-4E72-B31C-AFCE8617ECB4}">
      <formula1>"No,Yes - Small and Diverse,Yes - Small Only,Yes - Diverse Only"</formula1>
    </dataValidation>
    <dataValidation type="list" allowBlank="1" showInputMessage="1" showErrorMessage="1" sqref="H21:H28" xr:uid="{7D224076-EA4D-429B-9D15-99E9B5D8B1F5}">
      <formula1>"No,Yes - Certified,Yes - Self-Identified"</formula1>
    </dataValidation>
  </dataValidations>
  <pageMargins left="0.7" right="0.7" top="0.75" bottom="0.75" header="0.3" footer="0.3"/>
  <pageSetup scale="49" fitToHeight="0" orientation="portrait" r:id="rId1"/>
  <legacyDrawing r:id="rId2"/>
  <extLst>
    <ext xmlns:x14="http://schemas.microsoft.com/office/spreadsheetml/2009/9/main" uri="{CCE6A557-97BC-4b89-ADB6-D9C93CAAB3DF}">
      <x14:dataValidations xmlns:xm="http://schemas.microsoft.com/office/excel/2006/main" xWindow="910" yWindow="444" count="2">
        <x14:dataValidation type="list" allowBlank="1" showInputMessage="1" showErrorMessage="1" xr:uid="{58B4C7BC-9C1F-4364-B743-FBAB9C989664}">
          <x14:formula1>
            <xm:f>'Drop Down'!$D$2:$D$7</xm:f>
          </x14:formula1>
          <xm:sqref>H67</xm:sqref>
        </x14:dataValidation>
        <x14:dataValidation type="list" allowBlank="1" showInputMessage="1" showErrorMessage="1" xr:uid="{EA1605EE-5D46-4199-BCEC-0DB7D11C44DF}">
          <x14:formula1>
            <xm:f>'Drop Down'!$B$2:$B$53</xm:f>
          </x14:formula1>
          <xm:sqref>H45 H33 H53 H88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346C-3FCC-4374-8ADC-6D7DA2111549}">
  <sheetPr filterMode="1">
    <pageSetUpPr fitToPage="1"/>
  </sheetPr>
  <dimension ref="B1:J99"/>
  <sheetViews>
    <sheetView showGridLines="0" zoomScaleNormal="100" workbookViewId="0">
      <pane ySplit="2" topLeftCell="A3" activePane="bottomLeft" state="frozen"/>
      <selection pane="bottomLeft" activeCell="H4" sqref="H4"/>
    </sheetView>
  </sheetViews>
  <sheetFormatPr defaultColWidth="9.08984375" defaultRowHeight="14.5" x14ac:dyDescent="0.35"/>
  <cols>
    <col min="1" max="1" width="1.08984375" style="8" customWidth="1"/>
    <col min="2" max="2" width="12.54296875" style="5" hidden="1" customWidth="1"/>
    <col min="3" max="3" width="9.90625" style="5" hidden="1" customWidth="1"/>
    <col min="4" max="4" width="9.6328125" style="5" hidden="1" customWidth="1"/>
    <col min="5" max="5" width="9.90625" style="5" hidden="1" customWidth="1"/>
    <col min="6" max="6" width="10.54296875" style="5" hidden="1" customWidth="1"/>
    <col min="7" max="7" width="56.36328125" style="6" customWidth="1"/>
    <col min="8" max="8" width="78.08984375" style="17" customWidth="1"/>
    <col min="9" max="9" width="1.36328125" style="8" customWidth="1"/>
    <col min="10" max="10" width="12" style="8" customWidth="1"/>
    <col min="11" max="16384" width="9.08984375" style="8"/>
  </cols>
  <sheetData>
    <row r="1" spans="2:10" ht="15" thickBot="1" x14ac:dyDescent="0.4">
      <c r="G1" s="34" t="str">
        <f>Home!C1&amp;" ("&amp;IF(Home!D8="Yes","Domestic ","")&amp;Home!$D$7&amp;")"</f>
        <v>Supplier Information Form (SIF) Version 2.0 Effective 4-15-2020 ()</v>
      </c>
    </row>
    <row r="2" spans="2:10" ht="63" customHeight="1" thickTop="1" thickBot="1" x14ac:dyDescent="0.4">
      <c r="B2" s="5" t="str">
        <f>IF(AND(Home!$D$7="Individual",Home!$D$8&lt;&gt;"No"),"Conditional Formatting","")</f>
        <v/>
      </c>
      <c r="C2" s="5" t="s">
        <v>28</v>
      </c>
      <c r="D2" s="5" t="s">
        <v>84</v>
      </c>
      <c r="E2" s="5" t="s">
        <v>20</v>
      </c>
      <c r="F2" s="5" t="s">
        <v>21</v>
      </c>
      <c r="G2" s="50" t="str">
        <f>IF(AND(COUNTIF($B$3:$B$99,"R")&gt;0,COUNTIF($B$3:$B$99,"C")&gt;0),"There are "&amp;COUNTIF($B$3:$B$99,"R")&amp;" required fields remaining highlighted in yellow with mini-dots."&amp;CHAR(10)&amp;"There are "&amp;COUNTIF($B$3:$B$99,"C")&amp;" fields that need correction highlighted in red.",IF(AND(COUNTIF($B$3:$B$99,"R")&gt;0,COUNTIF($B$3:$B$99,"C")=0),"There are "&amp;COUNTIF($B$3:$B$99,"R")&amp;" required fields remaining highlighted in yellow with mini-dots.",IF(AND(COUNTIF($B$3:$B$99,"R")=0,COUNTIF($B$3:$B$99,"C")&gt;0),"There are "&amp;COUNTIF($B$3:$B$99,"C")&amp;" fields that need correction highlighted in red.","Completed! Please submit this excel file to the Emory personnel that provided you this form.")))</f>
        <v>Completed! Please submit this excel file to the Emory personnel that provided you this form.</v>
      </c>
      <c r="H2" s="51"/>
      <c r="J2" s="11" t="str">
        <f>HYPERLINK(CONCATENATE("#Home!D8"),"Click Here to Go Back")</f>
        <v>Click Here to Go Back</v>
      </c>
    </row>
    <row r="3" spans="2:10" ht="23.25" customHeight="1" thickTop="1" x14ac:dyDescent="0.35">
      <c r="B3" s="5" t="str">
        <f>IF(OR(Home!$D$7="",Home!$D$8="No"),"",IF(ISBLANK(HLOOKUP(Home!$D$7,$D$2:$F$99,ROW(A2),FALSE)),"",IF(H3="",HLOOKUP(Home!$D$7,$D$2:$F$99,ROW(A2),FALSE),IF(C3=FALSE,"C"))))</f>
        <v/>
      </c>
      <c r="C3" s="5" t="b">
        <v>1</v>
      </c>
      <c r="D3" s="15"/>
      <c r="E3" s="15" t="s">
        <v>22</v>
      </c>
      <c r="F3" s="15"/>
      <c r="G3" s="46" t="s">
        <v>19</v>
      </c>
      <c r="H3" s="49"/>
    </row>
    <row r="4" spans="2:10" ht="29" x14ac:dyDescent="0.35">
      <c r="B4" s="5" t="str">
        <f>IF(OR(Home!$D$7="",Home!$D$8="No"),"",IF(ISBLANK(HLOOKUP(Home!$D$7,$D$2:$F$99,ROW(A3),FALSE)),"",IF(H4="",HLOOKUP(Home!$D$7,$D$2:$F$99,ROW(A3),FALSE),IF(C4=FALSE,"C"))))</f>
        <v/>
      </c>
      <c r="C4" s="5" t="b">
        <v>1</v>
      </c>
      <c r="D4" s="15"/>
      <c r="E4" s="15" t="s">
        <v>14</v>
      </c>
      <c r="F4" s="15"/>
      <c r="G4" s="9" t="str">
        <f>IF(Home!$D$7="Company","Is your company",IF(Home!$D$7="Individual","Are you",""))&amp;" filling out this form to update current information on file with Emory? If not sure, select 'No' from drop down box."</f>
        <v xml:space="preserve"> filling out this form to update current information on file with Emory? If not sure, select 'No' from drop down box.</v>
      </c>
      <c r="H4" s="25"/>
    </row>
    <row r="5" spans="2:10" ht="31.5" customHeight="1" x14ac:dyDescent="0.35">
      <c r="B5" s="5" t="str">
        <f>IF(OR(Home!$D$7="",Home!$D$8="No"),"",IF(ISBLANK(HLOOKUP(Home!$D$7,$D$2:$F$99,ROW(A4),FALSE)),"",IF(H5="",HLOOKUP(Home!$D$7,$D$2:$F$99,ROW(A4),FALSE),IF(C5=FALSE,"C"))))</f>
        <v/>
      </c>
      <c r="C5" s="5" t="b">
        <v>1</v>
      </c>
      <c r="D5" s="15"/>
      <c r="E5" s="15" t="str">
        <f>IF(H4="Yes","R","Y")</f>
        <v>Y</v>
      </c>
      <c r="F5" s="15"/>
      <c r="G5" s="9" t="str">
        <f>IF(H4="Yes",IF(Home!$D$7="Company","Does your company",IF(Home!$D$7="Individual","Do you",""))&amp;" only need to update the ACH/Banking information on file with Emory?","")</f>
        <v/>
      </c>
      <c r="H5" s="25"/>
    </row>
    <row r="6" spans="2:10" ht="29" hidden="1" x14ac:dyDescent="0.35">
      <c r="B6" s="5" t="str">
        <f>IF(OR(Home!$D$7="",Home!$D$8="No"),"",IF(ISBLANK(HLOOKUP(Home!$D$7,$D$2:$F$99,ROW(A5),FALSE)),"",IF(H6="",HLOOKUP(Home!$D$7,$D$2:$F$99,ROW(A5),FALSE),IF(C6=FALSE,"C"))))</f>
        <v/>
      </c>
      <c r="C6" s="5" t="b">
        <v>1</v>
      </c>
      <c r="D6" s="15"/>
      <c r="E6" s="15"/>
      <c r="F6" s="15"/>
      <c r="G6" s="9" t="s">
        <v>1058</v>
      </c>
      <c r="H6" s="25"/>
    </row>
    <row r="7" spans="2:10" ht="47.25" hidden="1" customHeight="1" x14ac:dyDescent="0.35">
      <c r="B7" s="5" t="str">
        <f>IF(OR(Home!$D$7="",Home!$D$8="No"),"",IF(ISBLANK(HLOOKUP(Home!$D$7,$D$2:$F$99,ROW(A6),FALSE)),"",IF(H7="",HLOOKUP(Home!$D$7,$D$2:$F$99,ROW(A6),FALSE),IF(C7=FALSE,"C"))))</f>
        <v/>
      </c>
      <c r="C7" s="5" t="b">
        <v>1</v>
      </c>
      <c r="D7" s="15"/>
      <c r="E7" s="15"/>
      <c r="F7" s="15"/>
      <c r="G7" s="9" t="str">
        <f>IF(H6="Yes","Please provide a brief description of the merger, acquisition, or spinoff:","")</f>
        <v/>
      </c>
      <c r="H7" s="25"/>
    </row>
    <row r="8" spans="2:10" ht="15" customHeight="1" x14ac:dyDescent="0.35">
      <c r="B8" s="5" t="str">
        <f>IF(OR(Home!$D$7="",Home!$D$8="No"),"",IF(ISBLANK(HLOOKUP(Home!$D$7,$D$2:$F$99,ROW(A7),FALSE)),"",IF(H8="",HLOOKUP(Home!$D$7,$D$2:$F$99,ROW(A7),FALSE),IF(C8=FALSE,"C"))))</f>
        <v/>
      </c>
      <c r="C8" s="5" t="b">
        <v>1</v>
      </c>
      <c r="D8" s="15"/>
      <c r="E8" s="15" t="s">
        <v>22</v>
      </c>
      <c r="F8" s="15"/>
      <c r="G8" s="46"/>
      <c r="H8" s="49"/>
    </row>
    <row r="9" spans="2:10" ht="30.75" customHeight="1" x14ac:dyDescent="0.35">
      <c r="B9" s="5" t="str">
        <f>IF(OR(Home!$D$7="",Home!$D$8="No"),"",IF(ISBLANK(HLOOKUP(Home!$D$7,$D$2:$F$99,ROW(A8),FALSE)),"",IF(H9="",HLOOKUP(Home!$D$7,$D$2:$F$99,ROW(A8),FALSE),IF(C9=FALSE,"C"))))</f>
        <v/>
      </c>
      <c r="C9" s="5" t="b">
        <v>1</v>
      </c>
      <c r="D9" s="15"/>
      <c r="E9" s="15" t="str">
        <f>IF(COUNTIF($B$4:$B$7,"R")&gt;0,"","Y")</f>
        <v>Y</v>
      </c>
      <c r="F9" s="15"/>
      <c r="G9" s="52" t="str">
        <f>Home!D7&amp;" Name and Information"</f>
        <v xml:space="preserve"> Name and Information</v>
      </c>
      <c r="H9" s="53"/>
    </row>
    <row r="10" spans="2:10" x14ac:dyDescent="0.35">
      <c r="B10" s="5" t="str">
        <f>IF(OR(Home!$D$7="",Home!$D$8="No"),"",IF(ISBLANK(HLOOKUP(Home!$D$7,$D$2:$F$99,ROW(A9),FALSE)),"",IF(H10="",HLOOKUP(Home!$D$7,$D$2:$F$99,ROW(A9),FALSE),IF(C10=FALSE,"C"))))</f>
        <v/>
      </c>
      <c r="C10" s="5" t="b">
        <v>1</v>
      </c>
      <c r="D10" s="15"/>
      <c r="E10" s="15" t="str">
        <f>IF(COUNTIF($B$4:$B$7,"R")&gt;0,"",IF($H$5="Yes","Y","R"))</f>
        <v>R</v>
      </c>
      <c r="F10" s="15"/>
      <c r="G10" s="9" t="s">
        <v>23</v>
      </c>
      <c r="H10" s="25"/>
    </row>
    <row r="11" spans="2:10" x14ac:dyDescent="0.35">
      <c r="B11" s="5" t="str">
        <f>IF(OR(Home!$D$7="",Home!$D$8="No"),"",IF(ISBLANK(HLOOKUP(Home!$D$7,$D$2:$F$99,ROW(A10),FALSE)),"",IF(H11="",HLOOKUP(Home!$D$7,$D$2:$F$99,ROW(A10),FALSE),IF(C11=FALSE,"C"))))</f>
        <v/>
      </c>
      <c r="C11" s="5" t="b">
        <v>1</v>
      </c>
      <c r="D11" s="15"/>
      <c r="E11" s="15" t="str">
        <f t="shared" ref="E11" si="0">IF(COUNTIF($B$4:$B$7,"R")&gt;0,"","Y")</f>
        <v>Y</v>
      </c>
      <c r="F11" s="15"/>
      <c r="G11" s="9" t="s">
        <v>2</v>
      </c>
      <c r="H11" s="25"/>
    </row>
    <row r="12" spans="2:10" hidden="1" x14ac:dyDescent="0.35">
      <c r="B12" s="5" t="str">
        <f>IF(OR(Home!$D$7="",Home!$D$8="No"),"",IF(ISBLANK(HLOOKUP(Home!$D$7,$D$2:$F$99,ROW(A11),FALSE)),"",IF(H12="",HLOOKUP(Home!$D$7,$D$2:$F$99,ROW(A11),FALSE),IF(C12=FALSE,"C"))))</f>
        <v/>
      </c>
      <c r="C12" s="5" t="b">
        <f>ISNUMBER(H12+0)</f>
        <v>1</v>
      </c>
      <c r="D12" s="15"/>
      <c r="E12" s="13"/>
      <c r="F12" s="15"/>
      <c r="G12" s="9" t="s">
        <v>15</v>
      </c>
      <c r="H12" s="25"/>
    </row>
    <row r="13" spans="2:10" x14ac:dyDescent="0.35">
      <c r="B13" s="5" t="str">
        <f>IF(OR(Home!$D$7="",Home!$D$8="No"),"",IF(ISBLANK(HLOOKUP(Home!$D$7,$D$2:$F$99,ROW(A12),FALSE)),"",IF(H13="",HLOOKUP(Home!$D$7,$D$2:$F$99,ROW(A12),FALSE),IF(C13=FALSE,"C"))))</f>
        <v/>
      </c>
      <c r="C13" s="5" t="b">
        <v>1</v>
      </c>
      <c r="D13" s="15"/>
      <c r="E13" s="15" t="str">
        <f t="shared" ref="E13:E17" si="1">IF(COUNTIF($B$4:$B$7,"R")&gt;0,"",IF($H$5="Yes","Y","R"))</f>
        <v>R</v>
      </c>
      <c r="F13" s="15"/>
      <c r="G13" s="9" t="s">
        <v>1</v>
      </c>
      <c r="H13" s="25"/>
    </row>
    <row r="14" spans="2:10" x14ac:dyDescent="0.35">
      <c r="B14" s="5" t="str">
        <f>IF(OR(Home!$D$7="",Home!$D$8="No"),"",IF(ISBLANK(HLOOKUP(Home!$D$7,$D$2:$F$99,ROW(A13),FALSE)),"",IF(H14="",HLOOKUP(Home!$D$7,$D$2:$F$99,ROW(A13),FALSE),IF(C14=FALSE,"C"))))</f>
        <v/>
      </c>
      <c r="C14" s="5" t="b">
        <f>AND(ISNUMBER(H14+0),LEFT(H14,1)="1")</f>
        <v>0</v>
      </c>
      <c r="D14" s="15"/>
      <c r="E14" s="15" t="str">
        <f t="shared" si="1"/>
        <v>R</v>
      </c>
      <c r="F14" s="15"/>
      <c r="G14" s="9" t="s">
        <v>3</v>
      </c>
      <c r="H14" s="25"/>
    </row>
    <row r="15" spans="2:10" x14ac:dyDescent="0.35">
      <c r="B15" s="5" t="str">
        <f>IF(OR(Home!$D$7="",Home!$D$8="No"),"",IF(ISBLANK(HLOOKUP(Home!$D$7,$D$2:$F$99,ROW(A14),FALSE)),"",IF(H15="",HLOOKUP(Home!$D$7,$D$2:$F$99,ROW(A14),FALSE),IF(C15=FALSE,"C"))))</f>
        <v/>
      </c>
      <c r="C15" s="5" t="b">
        <f>IF(H15="",TRUE,ISNUMBER(FIND("@",H15,1)+FIND(".",H15,1)))</f>
        <v>1</v>
      </c>
      <c r="D15" s="15"/>
      <c r="E15" s="15" t="str">
        <f t="shared" si="1"/>
        <v>R</v>
      </c>
      <c r="F15" s="15"/>
      <c r="G15" s="9" t="s">
        <v>4</v>
      </c>
      <c r="H15" s="26"/>
    </row>
    <row r="16" spans="2:10" hidden="1" x14ac:dyDescent="0.35">
      <c r="B16" s="5" t="str">
        <f>IF(OR(Home!$D$7="",Home!$D$8="No"),"",IF(ISBLANK(HLOOKUP(Home!$D$7,$D$2:$F$99,ROW(A15),FALSE)),"",IF(H16="",HLOOKUP(Home!$D$7,$D$2:$F$99,ROW(A15),FALSE),IF(C16=FALSE,"C"))))</f>
        <v/>
      </c>
      <c r="C16" s="5" t="b">
        <v>1</v>
      </c>
      <c r="D16" s="15"/>
      <c r="E16" s="15"/>
      <c r="F16" s="15"/>
      <c r="G16" s="9" t="s">
        <v>1056</v>
      </c>
      <c r="H16" s="25"/>
    </row>
    <row r="17" spans="2:8" x14ac:dyDescent="0.35">
      <c r="B17" s="5" t="str">
        <f>IF(OR(Home!$D$7="",Home!$D$8="No"),"",IF(ISBLANK(HLOOKUP(Home!$D$7,$D$2:$F$99,ROW(A16),FALSE)),"",IF(H17="",HLOOKUP(Home!$D$7,$D$2:$F$99,ROW(A16),FALSE),IF(C17=FALSE,"C"))))</f>
        <v/>
      </c>
      <c r="C17" s="5" t="b">
        <f>ISNUMBER(H17+0)</f>
        <v>1</v>
      </c>
      <c r="D17" s="15"/>
      <c r="E17" s="15" t="str">
        <f t="shared" si="1"/>
        <v>R</v>
      </c>
      <c r="F17" s="15"/>
      <c r="G17" s="9" t="str">
        <f>IF(OR(Home!$D$7="Study Participant",Home!$D$7="Individual"),"Social Security Number (SSN) (9 Digits):",IF(H16="","",$H$16&amp;" (9 Digits) :"))</f>
        <v/>
      </c>
      <c r="H17" s="25"/>
    </row>
    <row r="18" spans="2:8" hidden="1" x14ac:dyDescent="0.35">
      <c r="B18" s="5" t="str">
        <f>IF(OR(Home!$D$7="",Home!$D$8="No"),"",IF(ISBLANK(HLOOKUP(Home!$D$7,$D$2:$F$99,ROW(A17),FALSE)),"",IF(H18="",HLOOKUP(Home!$D$7,$D$2:$F$99,ROW(A17),FALSE),IF(C18=FALSE,"C"))))</f>
        <v/>
      </c>
      <c r="C18" s="5" t="b">
        <v>1</v>
      </c>
      <c r="D18" s="15"/>
      <c r="E18" s="15"/>
      <c r="F18" s="15"/>
      <c r="G18" s="9" t="s">
        <v>1057</v>
      </c>
      <c r="H18" s="25"/>
    </row>
    <row r="19" spans="2:8" hidden="1" x14ac:dyDescent="0.35">
      <c r="B19" s="5" t="str">
        <f>IF(OR(Home!$D$7="",Home!$D$8="No"),"",IF(ISBLANK(HLOOKUP(Home!$D$7,$D$2:$F$99,ROW(A18),FALSE)),"",IF(H19="",HLOOKUP(Home!$D$7,$D$2:$F$99,ROW(A18),FALSE),IF(C19=FALSE,"C"))))</f>
        <v/>
      </c>
      <c r="C19" s="5" t="b">
        <v>1</v>
      </c>
      <c r="D19" s="15"/>
      <c r="E19" s="15"/>
      <c r="F19" s="15"/>
      <c r="G19" s="9" t="str">
        <f>IF(H18="Limited Liability Company (LLC)","If LLC, Select Tax Classification:","")</f>
        <v/>
      </c>
      <c r="H19" s="25"/>
    </row>
    <row r="20" spans="2:8" hidden="1" x14ac:dyDescent="0.35">
      <c r="B20" s="5" t="str">
        <f>IF(OR(Home!$D$7="",Home!$D$8="No"),"",IF(ISBLANK(HLOOKUP(Home!$D$7,$D$2:$F$99,ROW(A19),FALSE)),"",IF(H20="",HLOOKUP(Home!$D$7,$D$2:$F$99,ROW(A19),FALSE),IF(C20=FALSE,"C"))))</f>
        <v/>
      </c>
      <c r="C20" s="5" t="b">
        <v>1</v>
      </c>
      <c r="D20" s="15"/>
      <c r="E20" s="15"/>
      <c r="F20" s="15"/>
      <c r="G20" s="9" t="s">
        <v>1059</v>
      </c>
      <c r="H20" s="25"/>
    </row>
    <row r="21" spans="2:8" hidden="1" x14ac:dyDescent="0.35">
      <c r="B21" s="5" t="str">
        <f>IF(OR(Home!$D$7="",Home!$D$8="No"),"",IF(ISBLANK(HLOOKUP(Home!$D$7,$D$2:$F$99,ROW(A20),FALSE)),"",IF(H21="",HLOOKUP(Home!$D$7,$D$2:$F$99,ROW(A20),FALSE),IF(C21=FALSE,"C"))))</f>
        <v/>
      </c>
      <c r="C21" s="5" t="b">
        <v>1</v>
      </c>
      <c r="D21" s="15"/>
      <c r="E21" s="15"/>
      <c r="F21" s="15"/>
      <c r="G21" s="9" t="str">
        <f>IF(OR($H$20="Yes - Small and Diverse",$H$20="Yes - Diverse Only"),"Indicate if Disadvantaged Business (DBE):","")</f>
        <v/>
      </c>
      <c r="H21" s="25"/>
    </row>
    <row r="22" spans="2:8" hidden="1" x14ac:dyDescent="0.35">
      <c r="B22" s="5" t="str">
        <f>IF(OR(Home!$D$7="",Home!$D$8="No"),"",IF(ISBLANK(HLOOKUP(Home!$D$7,$D$2:$F$99,ROW(A21),FALSE)),"",IF(H22="",HLOOKUP(Home!$D$7,$D$2:$F$99,ROW(A21),FALSE),IF(C22=FALSE,"C"))))</f>
        <v/>
      </c>
      <c r="C22" s="5" t="b">
        <v>1</v>
      </c>
      <c r="D22" s="15"/>
      <c r="E22" s="15"/>
      <c r="F22" s="15"/>
      <c r="G22" s="9" t="str">
        <f>IF(OR($H$20="Yes - Small and Diverse",$H$20="Yes - Diverse Only"),"Indicate if Woman-Owned Business (WBE):","")</f>
        <v/>
      </c>
      <c r="H22" s="25"/>
    </row>
    <row r="23" spans="2:8" hidden="1" x14ac:dyDescent="0.35">
      <c r="B23" s="5" t="str">
        <f>IF(OR(Home!$D$7="",Home!$D$8="No"),"",IF(ISBLANK(HLOOKUP(Home!$D$7,$D$2:$F$99,ROW(A22),FALSE)),"",IF(H23="",HLOOKUP(Home!$D$7,$D$2:$F$99,ROW(A22),FALSE),IF(C23=FALSE,"C"))))</f>
        <v/>
      </c>
      <c r="C23" s="5" t="b">
        <v>1</v>
      </c>
      <c r="D23" s="15"/>
      <c r="E23" s="15"/>
      <c r="F23" s="15"/>
      <c r="G23" s="9" t="str">
        <f>IF(OR($H$20="Yes - Small and Diverse",$H$20="Yes - Diverse Only"),"Indicate if Minority Owned Business (MBE):","")</f>
        <v/>
      </c>
      <c r="H23" s="25"/>
    </row>
    <row r="24" spans="2:8" hidden="1" x14ac:dyDescent="0.35">
      <c r="B24" s="5" t="str">
        <f>IF(OR(Home!$D$7="",Home!$D$8="No"),"",IF(ISBLANK(HLOOKUP(Home!$D$7,$D$2:$F$99,ROW(A23),FALSE)),"",IF(H24="",HLOOKUP(Home!$D$7,$D$2:$F$99,ROW(A23),FALSE),IF(C24=FALSE,"C"))))</f>
        <v/>
      </c>
      <c r="C24" s="5" t="b">
        <v>1</v>
      </c>
      <c r="D24" s="15"/>
      <c r="E24" s="15"/>
      <c r="F24" s="15"/>
      <c r="G24" s="9" t="str">
        <f>IF(OR($H$20="Yes - Small and Diverse",$H$20="Yes - Diverse Only"),"Indicate if Veteran Owned Business (VBE):","")</f>
        <v/>
      </c>
      <c r="H24" s="25"/>
    </row>
    <row r="25" spans="2:8" ht="32.25" hidden="1" customHeight="1" x14ac:dyDescent="0.35">
      <c r="B25" s="5" t="str">
        <f>IF(OR(Home!$D$7="",Home!$D$8="No"),"",IF(ISBLANK(HLOOKUP(Home!$D$7,$D$2:$F$99,ROW(A24),FALSE)),"",IF(H25="",HLOOKUP(Home!$D$7,$D$2:$F$99,ROW(A24),FALSE),IF(C25=FALSE,"C"))))</f>
        <v/>
      </c>
      <c r="C25" s="5" t="b">
        <v>1</v>
      </c>
      <c r="D25" s="15"/>
      <c r="E25" s="15"/>
      <c r="F25" s="15"/>
      <c r="G25" s="9" t="str">
        <f>IF(OR($H$20="Yes - Small and Diverse",$H$20="Yes - Diverse Only"),"Indicate if Historically Black Colleges / Universities &amp; Minority Institutions:","")</f>
        <v/>
      </c>
      <c r="H25" s="25"/>
    </row>
    <row r="26" spans="2:8" hidden="1" x14ac:dyDescent="0.35">
      <c r="B26" s="5" t="str">
        <f>IF(OR(Home!$D$7="",Home!$D$8="No"),"",IF(ISBLANK(HLOOKUP(Home!$D$7,$D$2:$F$99,ROW(A25),FALSE)),"",IF(H26="",HLOOKUP(Home!$D$7,$D$2:$F$99,ROW(A25),FALSE),IF(C26=FALSE,"C"))))</f>
        <v/>
      </c>
      <c r="C26" s="5" t="b">
        <v>1</v>
      </c>
      <c r="D26" s="15"/>
      <c r="E26" s="15"/>
      <c r="F26" s="15"/>
      <c r="G26" s="9" t="str">
        <f>IF(OR($H$20="Yes - Small and Diverse"),"Indicate if HUBZone Small Business (HUB Zone):","")</f>
        <v/>
      </c>
      <c r="H26" s="25"/>
    </row>
    <row r="27" spans="2:8" ht="33.75" hidden="1" customHeight="1" x14ac:dyDescent="0.35">
      <c r="B27" s="5" t="str">
        <f>IF(OR(Home!$D$7="",Home!$D$8="No"),"",IF(ISBLANK(HLOOKUP(Home!$D$7,$D$2:$F$99,ROW(A26),FALSE)),"",IF(H27="",HLOOKUP(Home!$D$7,$D$2:$F$99,ROW(A26),FALSE),IF(C27=FALSE,"C"))))</f>
        <v/>
      </c>
      <c r="C27" s="5" t="b">
        <v>1</v>
      </c>
      <c r="D27" s="15"/>
      <c r="E27" s="15"/>
      <c r="F27" s="15"/>
      <c r="G27" s="9" t="str">
        <f>IF(OR($H$20="Yes - Small and Diverse"),"Indicate if Service Disabled Veteran-Owned Small Business (SDVOSB):","")</f>
        <v/>
      </c>
      <c r="H27" s="25"/>
    </row>
    <row r="28" spans="2:8" ht="33.75" hidden="1" customHeight="1" x14ac:dyDescent="0.35">
      <c r="B28" s="5" t="str">
        <f>IF(OR(Home!$D$7="",Home!$D$8="No"),"",IF(ISBLANK(HLOOKUP(Home!$D$7,$D$2:$F$99,ROW(A27),FALSE)),"",IF(H28="",HLOOKUP(Home!$D$7,$D$2:$F$99,ROW(A27),FALSE),IF(C28=FALSE,"C"))))</f>
        <v/>
      </c>
      <c r="C28" s="5" t="b">
        <v>1</v>
      </c>
      <c r="D28" s="15"/>
      <c r="E28" s="15"/>
      <c r="F28" s="15"/>
      <c r="G28" s="9" t="str">
        <f>IF(OR($H$20="Yes - Small and Diverse"),"Indicate if Alaskan Native Corporations (ANCs) &amp; Indian Tribes):","")</f>
        <v/>
      </c>
      <c r="H28" s="25"/>
    </row>
    <row r="29" spans="2:8" ht="23.25" customHeight="1" x14ac:dyDescent="0.35">
      <c r="B29" s="5" t="str">
        <f>IF(OR(Home!$D$7="",Home!$D$8="No"),"",IF(ISBLANK(HLOOKUP(Home!$D$7,$D$2:$F$99,ROW(A28),FALSE)),"",IF(H29="",HLOOKUP(Home!$D$7,$D$2:$F$99,ROW(A28),FALSE),IF(C29=FALSE,"C"))))</f>
        <v/>
      </c>
      <c r="C29" s="5" t="b">
        <v>1</v>
      </c>
      <c r="D29" s="15"/>
      <c r="E29" s="15" t="str">
        <f t="shared" ref="E29" si="2">IF(COUNTIF($B$4:$B$7,"R")&gt;0,"","Y")</f>
        <v>Y</v>
      </c>
      <c r="F29" s="15"/>
      <c r="G29" s="46" t="s">
        <v>5</v>
      </c>
      <c r="H29" s="49"/>
    </row>
    <row r="30" spans="2:8" x14ac:dyDescent="0.35">
      <c r="B30" s="5" t="str">
        <f>IF(OR(Home!$D$7="",Home!$D$8="No"),"",IF(ISBLANK(HLOOKUP(Home!$D$7,$D$2:$F$99,ROW(A29),FALSE)),"",IF(H30="",HLOOKUP(Home!$D$7,$D$2:$F$99,ROW(A29),FALSE),IF(C30=FALSE,"C"))))</f>
        <v/>
      </c>
      <c r="C30" s="5" t="b">
        <v>1</v>
      </c>
      <c r="D30" s="15"/>
      <c r="E30" s="15" t="str">
        <f t="shared" ref="E30" si="3">IF(COUNTIF($B$4:$B$7,"R")&gt;0,"",IF($H$5="Yes","Y","R"))</f>
        <v>R</v>
      </c>
      <c r="F30" s="15"/>
      <c r="G30" s="9" t="s">
        <v>16</v>
      </c>
      <c r="H30" s="25"/>
    </row>
    <row r="31" spans="2:8" x14ac:dyDescent="0.35">
      <c r="B31" s="5" t="str">
        <f>IF(OR(Home!$D$7="",Home!$D$8="No"),"",IF(ISBLANK(HLOOKUP(Home!$D$7,$D$2:$F$99,ROW(A30),FALSE)),"",IF(H31="",HLOOKUP(Home!$D$7,$D$2:$F$99,ROW(A30),FALSE),IF(C31=FALSE,"C"))))</f>
        <v/>
      </c>
      <c r="C31" s="5" t="b">
        <v>1</v>
      </c>
      <c r="D31" s="15"/>
      <c r="E31" s="15" t="str">
        <f t="shared" ref="E31" si="4">IF(COUNTIF($B$4:$B$7,"R")&gt;0,"","Y")</f>
        <v>Y</v>
      </c>
      <c r="F31" s="15"/>
      <c r="G31" s="9" t="s">
        <v>17</v>
      </c>
      <c r="H31" s="25"/>
    </row>
    <row r="32" spans="2:8" x14ac:dyDescent="0.35">
      <c r="B32" s="5" t="str">
        <f>IF(OR(Home!$D$7="",Home!$D$8="No"),"",IF(ISBLANK(HLOOKUP(Home!$D$7,$D$2:$F$99,ROW(A31),FALSE)),"",IF(H32="",HLOOKUP(Home!$D$7,$D$2:$F$99,ROW(A31),FALSE),IF(C32=FALSE,"C"))))</f>
        <v/>
      </c>
      <c r="C32" s="5" t="b">
        <v>1</v>
      </c>
      <c r="D32" s="15"/>
      <c r="E32" s="15" t="str">
        <f t="shared" ref="E32:E34" si="5">IF(COUNTIF($B$4:$B$7,"R")&gt;0,"",IF($H$5="Yes","Y","R"))</f>
        <v>R</v>
      </c>
      <c r="F32" s="15"/>
      <c r="G32" s="9" t="s">
        <v>6</v>
      </c>
      <c r="H32" s="25"/>
    </row>
    <row r="33" spans="2:8" x14ac:dyDescent="0.35">
      <c r="B33" s="5" t="str">
        <f>IF(OR(Home!$D$7="",Home!$D$8="No"),"",IF(ISBLANK(HLOOKUP(Home!$D$7,$D$2:$F$99,ROW(A32),FALSE)),"",IF(H33="",HLOOKUP(Home!$D$7,$D$2:$F$99,ROW(A32),FALSE),IF(C33=FALSE,"C"))))</f>
        <v/>
      </c>
      <c r="C33" s="5" t="b">
        <v>1</v>
      </c>
      <c r="D33" s="15"/>
      <c r="E33" s="15" t="str">
        <f t="shared" si="5"/>
        <v>R</v>
      </c>
      <c r="F33" s="15"/>
      <c r="G33" s="9" t="s">
        <v>7</v>
      </c>
      <c r="H33" s="25"/>
    </row>
    <row r="34" spans="2:8" x14ac:dyDescent="0.35">
      <c r="B34" s="5" t="str">
        <f>IF(OR(Home!$D$7="",Home!$D$8="No"),"",IF(ISBLANK(HLOOKUP(Home!$D$7,$D$2:$F$99,ROW(A33),FALSE)),"",IF(H34="",HLOOKUP(Home!$D$7,$D$2:$F$99,ROW(A33),FALSE),IF(C34=FALSE,"C"))))</f>
        <v/>
      </c>
      <c r="C34" s="5" t="b">
        <v>1</v>
      </c>
      <c r="D34" s="15"/>
      <c r="E34" s="15" t="str">
        <f t="shared" si="5"/>
        <v>R</v>
      </c>
      <c r="F34" s="15"/>
      <c r="G34" s="9" t="s">
        <v>29</v>
      </c>
      <c r="H34" s="25"/>
    </row>
    <row r="35" spans="2:8" hidden="1" x14ac:dyDescent="0.35">
      <c r="B35" s="5" t="str">
        <f>IF(OR(Home!$D$7="",Home!$D$8="No"),"",IF(ISBLANK(HLOOKUP(Home!$D$7,$D$2:$F$99,ROW(A34),FALSE)),"",IF(H35="",HLOOKUP(Home!$D$7,$D$2:$F$99,ROW(A34),FALSE),IF(C35=FALSE,"C"))))</f>
        <v/>
      </c>
      <c r="C35" s="5" t="b">
        <f>AND(ISNUMBER(H35+0),LEFT(H35,1)="1")</f>
        <v>0</v>
      </c>
      <c r="D35" s="15"/>
      <c r="E35" s="13"/>
      <c r="F35" s="15"/>
      <c r="G35" s="9" t="s">
        <v>10</v>
      </c>
      <c r="H35" s="25"/>
    </row>
    <row r="36" spans="2:8" hidden="1" x14ac:dyDescent="0.35">
      <c r="B36" s="5" t="str">
        <f>IF(OR(Home!$D$7="",Home!$D$8="No"),"",IF(ISBLANK(HLOOKUP(Home!$D$7,$D$2:$F$99,ROW(A35),FALSE)),"",IF(H36="",HLOOKUP(Home!$D$7,$D$2:$F$99,ROW(A35),FALSE),IF(C36=FALSE,"C"))))</f>
        <v/>
      </c>
      <c r="C36" s="5" t="b">
        <f>IF(H36="",TRUE,ISNUMBER(FIND("@",H36,1)+FIND(".",H36,1)))</f>
        <v>1</v>
      </c>
      <c r="D36" s="15"/>
      <c r="E36" s="13"/>
      <c r="F36" s="15"/>
      <c r="G36" s="9" t="s">
        <v>9</v>
      </c>
      <c r="H36" s="25"/>
    </row>
    <row r="37" spans="2:8" ht="23.25" hidden="1" customHeight="1" x14ac:dyDescent="0.35">
      <c r="B37" s="5" t="str">
        <f>IF(OR(Home!$D$7="",Home!$D$8="No"),"",IF(ISBLANK(HLOOKUP(Home!$D$7,$D$2:$F$99,ROW(A36),FALSE)),"",IF(H37="",HLOOKUP(Home!$D$7,$D$2:$F$99,ROW(A36),FALSE),IF(C37=FALSE,"C"))))</f>
        <v/>
      </c>
      <c r="C37" s="5" t="b">
        <v>1</v>
      </c>
      <c r="D37" s="15"/>
      <c r="E37" s="13"/>
      <c r="F37" s="15"/>
      <c r="G37" s="46" t="s">
        <v>81</v>
      </c>
      <c r="H37" s="49"/>
    </row>
    <row r="38" spans="2:8" hidden="1" x14ac:dyDescent="0.35">
      <c r="B38" s="5" t="str">
        <f>IF(OR(Home!$D$7="",Home!$D$8="No"),"",IF(ISBLANK(HLOOKUP(Home!$D$7,$D$2:$F$99,ROW(A37),FALSE)),"",IF(H38="",HLOOKUP(Home!$D$7,$D$2:$F$99,ROW(A37),FALSE),IF(C38=FALSE,"C"))))</f>
        <v/>
      </c>
      <c r="C38" s="5" t="b">
        <v>1</v>
      </c>
      <c r="D38" s="15"/>
      <c r="E38" s="13"/>
      <c r="F38" s="15"/>
      <c r="G38" s="9" t="s">
        <v>11</v>
      </c>
      <c r="H38" s="25"/>
    </row>
    <row r="39" spans="2:8" hidden="1" x14ac:dyDescent="0.35">
      <c r="B39" s="5" t="str">
        <f>IF(OR(Home!$D$7="",Home!$D$8="No"),"",IF(ISBLANK(HLOOKUP(Home!$D$7,$D$2:$F$99,ROW(A38),FALSE)),"",IF(H39="",HLOOKUP(Home!$D$7,$D$2:$F$99,ROW(A38),FALSE),IF(C39=FALSE,"C"))))</f>
        <v/>
      </c>
      <c r="C39" s="5" t="b">
        <f>IF(H39="",TRUE,ISNUMBER(FIND("@",H39,1)+FIND(".",H39,1)))</f>
        <v>1</v>
      </c>
      <c r="D39" s="15"/>
      <c r="E39" s="13"/>
      <c r="F39" s="15"/>
      <c r="G39" s="9" t="str">
        <f>IF(LEFT($H$38,5)="Email","Email for Receiving Orders:","")</f>
        <v/>
      </c>
      <c r="H39" s="25"/>
    </row>
    <row r="40" spans="2:8" hidden="1" x14ac:dyDescent="0.35">
      <c r="B40" s="5" t="str">
        <f>IF(OR(Home!$D$7="",Home!$D$8="No"),"",IF(ISBLANK(HLOOKUP(Home!$D$7,$D$2:$F$99,ROW(A39),FALSE)),"",IF(H40="",HLOOKUP(Home!$D$7,$D$2:$F$99,ROW(A39),FALSE),IF(C40=FALSE,"C"))))</f>
        <v/>
      </c>
      <c r="C40" s="5" t="b">
        <f>ISNUMBER(H40+0)</f>
        <v>1</v>
      </c>
      <c r="D40" s="15"/>
      <c r="E40" s="13"/>
      <c r="F40" s="15"/>
      <c r="G40" s="9" t="str">
        <f>IF($H$38="Fax","Fax Number for Receiving Orders:","")</f>
        <v/>
      </c>
      <c r="H40" s="25"/>
    </row>
    <row r="41" spans="2:8" ht="29" hidden="1" x14ac:dyDescent="0.35">
      <c r="B41" s="5" t="str">
        <f>IF(OR(Home!$D$7="",Home!$D$8="No"),"",IF(ISBLANK(HLOOKUP(Home!$D$7,$D$2:$F$99,ROW(A40),FALSE)),"",IF(H41="",HLOOKUP(Home!$D$7,$D$2:$F$99,ROW(A40),FALSE),IF(C41=FALSE,"C"))))</f>
        <v/>
      </c>
      <c r="C41" s="5" t="b">
        <v>1</v>
      </c>
      <c r="D41" s="15"/>
      <c r="E41" s="15"/>
      <c r="F41" s="15"/>
      <c r="G41" s="9" t="s">
        <v>1050</v>
      </c>
      <c r="H41" s="25"/>
    </row>
    <row r="42" spans="2:8" hidden="1" x14ac:dyDescent="0.35">
      <c r="B42" s="5" t="str">
        <f>IF(OR(Home!$D$7="",Home!$D$8="No"),"",IF(ISBLANK(HLOOKUP(Home!$D$7,$D$2:$F$99,ROW(A41),FALSE)),"",IF(H42="",HLOOKUP(Home!$D$7,$D$2:$F$99,ROW(A41),FALSE),IF(C42=FALSE,"C"))))</f>
        <v/>
      </c>
      <c r="C42" s="5" t="b">
        <v>1</v>
      </c>
      <c r="D42" s="15"/>
      <c r="E42" s="13"/>
      <c r="F42" s="15"/>
      <c r="G42" s="9" t="str">
        <f>IF($H$41="No","Address Line 1:","")</f>
        <v/>
      </c>
      <c r="H42" s="25"/>
    </row>
    <row r="43" spans="2:8" hidden="1" x14ac:dyDescent="0.35">
      <c r="B43" s="5" t="str">
        <f>IF(OR(Home!$D$7="",Home!$D$8="No"),"",IF(ISBLANK(HLOOKUP(Home!$D$7,$D$2:$F$99,ROW(A42),FALSE)),"",IF(H43="",HLOOKUP(Home!$D$7,$D$2:$F$99,ROW(A42),FALSE),IF(C43=FALSE,"C"))))</f>
        <v/>
      </c>
      <c r="C43" s="5" t="b">
        <v>1</v>
      </c>
      <c r="D43" s="15"/>
      <c r="E43" s="13"/>
      <c r="F43" s="15"/>
      <c r="G43" s="9" t="str">
        <f>IF($H$41="No","Address Line 2:","")</f>
        <v/>
      </c>
      <c r="H43" s="25"/>
    </row>
    <row r="44" spans="2:8" hidden="1" x14ac:dyDescent="0.35">
      <c r="B44" s="5" t="str">
        <f>IF(OR(Home!$D$7="",Home!$D$8="No"),"",IF(ISBLANK(HLOOKUP(Home!$D$7,$D$2:$F$99,ROW(A43),FALSE)),"",IF(H44="",HLOOKUP(Home!$D$7,$D$2:$F$99,ROW(A43),FALSE),IF(C44=FALSE,"C"))))</f>
        <v/>
      </c>
      <c r="C44" s="5" t="b">
        <v>1</v>
      </c>
      <c r="D44" s="15"/>
      <c r="E44" s="13"/>
      <c r="F44" s="15"/>
      <c r="G44" s="9" t="str">
        <f>IF($H$41="No","City:","")</f>
        <v/>
      </c>
      <c r="H44" s="25"/>
    </row>
    <row r="45" spans="2:8" hidden="1" x14ac:dyDescent="0.35">
      <c r="B45" s="5" t="str">
        <f>IF(OR(Home!$D$7="",Home!$D$8="No"),"",IF(ISBLANK(HLOOKUP(Home!$D$7,$D$2:$F$99,ROW(A44),FALSE)),"",IF(H45="",HLOOKUP(Home!$D$7,$D$2:$F$99,ROW(A44),FALSE),IF(C45=FALSE,"C"))))</f>
        <v/>
      </c>
      <c r="C45" s="5" t="b">
        <v>1</v>
      </c>
      <c r="D45" s="15"/>
      <c r="E45" s="13"/>
      <c r="F45" s="15"/>
      <c r="G45" s="9" t="str">
        <f>IF($H$41="No","State:","")</f>
        <v/>
      </c>
      <c r="H45" s="25"/>
    </row>
    <row r="46" spans="2:8" hidden="1" x14ac:dyDescent="0.35">
      <c r="B46" s="5" t="str">
        <f>IF(OR(Home!$D$7="",Home!$D$8="No"),"",IF(ISBLANK(HLOOKUP(Home!$D$7,$D$2:$F$99,ROW(A45),FALSE)),"",IF(H46="",HLOOKUP(Home!$D$7,$D$2:$F$99,ROW(A45),FALSE),IF(C46=FALSE,"C"))))</f>
        <v/>
      </c>
      <c r="C46" s="5" t="b">
        <v>1</v>
      </c>
      <c r="D46" s="15"/>
      <c r="E46" s="13"/>
      <c r="F46" s="15"/>
      <c r="G46" s="9" t="str">
        <f>IF($H$41="No","ZIP Code:","")</f>
        <v/>
      </c>
      <c r="H46" s="25"/>
    </row>
    <row r="47" spans="2:8" hidden="1" x14ac:dyDescent="0.35">
      <c r="B47" s="5" t="str">
        <f>IF(OR(Home!$D$7="",Home!$D$8="No"),"",IF(ISBLANK(HLOOKUP(Home!$D$7,$D$2:$F$99,ROW(A46),FALSE)),"",IF(H47="",HLOOKUP(Home!$D$7,$D$2:$F$99,ROW(A46),FALSE),IF(C47=FALSE,"C"))))</f>
        <v/>
      </c>
      <c r="C47" s="5" t="b">
        <f>AND(ISNUMBER(H47+0),LEFT(H47,1)="1")</f>
        <v>0</v>
      </c>
      <c r="D47" s="15"/>
      <c r="E47" s="13"/>
      <c r="F47" s="15"/>
      <c r="G47" s="9" t="str">
        <f>IF($H$41="No","Phone:","")</f>
        <v/>
      </c>
      <c r="H47" s="25"/>
    </row>
    <row r="48" spans="2:8" ht="23.25" customHeight="1" x14ac:dyDescent="0.35">
      <c r="B48" s="5" t="str">
        <f>IF(OR(Home!$D$7="",Home!$D$8="No"),"",IF(ISBLANK(HLOOKUP(Home!$D$7,$D$2:$F$99,ROW(A47),FALSE)),"",IF(H48="",HLOOKUP(Home!$D$7,$D$2:$F$99,ROW(A47),FALSE),IF(C48=FALSE,"C"))))</f>
        <v/>
      </c>
      <c r="C48" s="5" t="b">
        <v>1</v>
      </c>
      <c r="D48" s="15"/>
      <c r="E48" s="15" t="str">
        <f t="shared" ref="E48" si="6">IF(COUNTIF($B$4:$B$7,"R")&gt;0,"","Y")</f>
        <v>Y</v>
      </c>
      <c r="F48" s="15"/>
      <c r="G48" s="46" t="s">
        <v>80</v>
      </c>
      <c r="H48" s="49"/>
    </row>
    <row r="49" spans="2:8" ht="33.75" customHeight="1" x14ac:dyDescent="0.35">
      <c r="B49" s="5" t="str">
        <f>IF(OR(Home!$D$7="",Home!$D$8="No"),"",IF(ISBLANK(HLOOKUP(Home!$D$7,$D$2:$F$99,ROW(A48),FALSE)),"",IF(H49="",HLOOKUP(Home!$D$7,$D$2:$F$99,ROW(A48),FALSE),IF(C49=FALSE,"C"))))</f>
        <v/>
      </c>
      <c r="C49" s="5" t="b">
        <v>1</v>
      </c>
      <c r="D49" s="15"/>
      <c r="E49" s="15" t="str">
        <f>IF(COUNTIF($B$4:$B$7,"R")&gt;0,"",IF($H$5="Yes","Y","R"))</f>
        <v>R</v>
      </c>
      <c r="F49" s="15"/>
      <c r="G49" s="9" t="s">
        <v>1051</v>
      </c>
      <c r="H49" s="25"/>
    </row>
    <row r="50" spans="2:8" x14ac:dyDescent="0.35">
      <c r="B50" s="5" t="str">
        <f>IF(OR(Home!$D$7="",Home!$D$8="No"),"",IF(ISBLANK(HLOOKUP(Home!$D$7,$D$2:$F$99,ROW(A49),FALSE)),"",IF(H50="",HLOOKUP(Home!$D$7,$D$2:$F$99,ROW(A49),FALSE),IF(C50=FALSE,"C"))))</f>
        <v/>
      </c>
      <c r="C50" s="5" t="b">
        <v>1</v>
      </c>
      <c r="D50" s="15"/>
      <c r="E50" s="15" t="str">
        <f>IF(COUNTIF($B$4:$B$7,"R")&gt;0,"",IF(OR($H$5="Yes",$H$49="Yes",$H$49=""),"Y","R"))</f>
        <v>Y</v>
      </c>
      <c r="F50" s="15"/>
      <c r="G50" s="9" t="str">
        <f>IF($H$49="No","Address Line 1:","")</f>
        <v/>
      </c>
      <c r="H50" s="25"/>
    </row>
    <row r="51" spans="2:8" x14ac:dyDescent="0.35">
      <c r="B51" s="5" t="str">
        <f>IF(OR(Home!$D$7="",Home!$D$8="No"),"",IF(ISBLANK(HLOOKUP(Home!$D$7,$D$2:$F$99,ROW(A50),FALSE)),"",IF(H51="",HLOOKUP(Home!$D$7,$D$2:$F$99,ROW(A50),FALSE),IF(C51=FALSE,"C"))))</f>
        <v/>
      </c>
      <c r="C51" s="5" t="b">
        <v>1</v>
      </c>
      <c r="D51" s="15"/>
      <c r="E51" s="15" t="str">
        <f t="shared" ref="E51" si="7">IF(COUNTIF($B$4:$B$7,"R")&gt;0,"","Y")</f>
        <v>Y</v>
      </c>
      <c r="F51" s="15"/>
      <c r="G51" s="9" t="str">
        <f>IF($H$49="No","Address Line 2:","")</f>
        <v/>
      </c>
      <c r="H51" s="25"/>
    </row>
    <row r="52" spans="2:8" x14ac:dyDescent="0.35">
      <c r="B52" s="5" t="str">
        <f>IF(OR(Home!$D$7="",Home!$D$8="No"),"",IF(ISBLANK(HLOOKUP(Home!$D$7,$D$2:$F$99,ROW(A51),FALSE)),"",IF(H52="",HLOOKUP(Home!$D$7,$D$2:$F$99,ROW(A51),FALSE),IF(C52=FALSE,"C"))))</f>
        <v/>
      </c>
      <c r="C52" s="5" t="b">
        <v>1</v>
      </c>
      <c r="D52" s="15"/>
      <c r="E52" s="15" t="str">
        <f t="shared" ref="E52:E56" si="8">IF(COUNTIF($B$4:$B$7,"R")&gt;0,"",IF(OR($H$5="Yes",$H$49="Yes",$H$49=""),"Y","R"))</f>
        <v>Y</v>
      </c>
      <c r="F52" s="15"/>
      <c r="G52" s="9" t="str">
        <f>IF($H$49="No","City:","")</f>
        <v/>
      </c>
      <c r="H52" s="25"/>
    </row>
    <row r="53" spans="2:8" x14ac:dyDescent="0.35">
      <c r="B53" s="5" t="str">
        <f>IF(OR(Home!$D$7="",Home!$D$8="No"),"",IF(ISBLANK(HLOOKUP(Home!$D$7,$D$2:$F$99,ROW(A52),FALSE)),"",IF(H53="",HLOOKUP(Home!$D$7,$D$2:$F$99,ROW(A52),FALSE),IF(C53=FALSE,"C"))))</f>
        <v/>
      </c>
      <c r="C53" s="5" t="b">
        <v>1</v>
      </c>
      <c r="D53" s="15"/>
      <c r="E53" s="15" t="str">
        <f t="shared" si="8"/>
        <v>Y</v>
      </c>
      <c r="F53" s="15"/>
      <c r="G53" s="9" t="str">
        <f>IF($H$49="No","State:","")</f>
        <v/>
      </c>
      <c r="H53" s="25"/>
    </row>
    <row r="54" spans="2:8" x14ac:dyDescent="0.35">
      <c r="B54" s="5" t="str">
        <f>IF(OR(Home!$D$7="",Home!$D$8="No"),"",IF(ISBLANK(HLOOKUP(Home!$D$7,$D$2:$F$99,ROW(A53),FALSE)),"",IF(H54="",HLOOKUP(Home!$D$7,$D$2:$F$99,ROW(A53),FALSE),IF(C54=FALSE,"C"))))</f>
        <v/>
      </c>
      <c r="C54" s="5" t="b">
        <v>1</v>
      </c>
      <c r="D54" s="15"/>
      <c r="E54" s="15" t="str">
        <f t="shared" si="8"/>
        <v>Y</v>
      </c>
      <c r="F54" s="15"/>
      <c r="G54" s="9" t="str">
        <f>IF($H$49="No","ZIP Code:","")</f>
        <v/>
      </c>
      <c r="H54" s="25"/>
    </row>
    <row r="55" spans="2:8" x14ac:dyDescent="0.35">
      <c r="B55" s="5" t="str">
        <f>IF(OR(Home!$D$7="",Home!$D$8="No"),"",IF(ISBLANK(HLOOKUP(Home!$D$7,$D$2:$F$99,ROW(A54),FALSE)),"",IF(H55="",HLOOKUP(Home!$D$7,$D$2:$F$99,ROW(A54),FALSE),IF(C55=FALSE,"C"))))</f>
        <v/>
      </c>
      <c r="C55" s="5" t="b">
        <f>AND(ISNUMBER(H55+0),LEFT(H55,1)="1")</f>
        <v>0</v>
      </c>
      <c r="D55" s="15"/>
      <c r="E55" s="15" t="str">
        <f t="shared" si="8"/>
        <v>Y</v>
      </c>
      <c r="F55" s="15"/>
      <c r="G55" s="9" t="str">
        <f>IF($H$49="No","Phone:","")</f>
        <v/>
      </c>
      <c r="H55" s="25"/>
    </row>
    <row r="56" spans="2:8" x14ac:dyDescent="0.35">
      <c r="B56" s="5" t="str">
        <f>IF(OR(Home!$D$7="",Home!$D$8="No"),"",IF(ISBLANK(HLOOKUP(Home!$D$7,$D$2:$F$99,ROW(A55),FALSE)),"",IF(H56="",HLOOKUP(Home!$D$7,$D$2:$F$99,ROW(A55),FALSE),IF(C56=FALSE,"C"))))</f>
        <v/>
      </c>
      <c r="C56" s="5" t="b">
        <f>IF(H56="",TRUE,ISNUMBER(FIND("@",H56,1)+FIND(".",H56,1)))</f>
        <v>1</v>
      </c>
      <c r="D56" s="15"/>
      <c r="E56" s="15" t="str">
        <f t="shared" si="8"/>
        <v>Y</v>
      </c>
      <c r="F56" s="15"/>
      <c r="G56" s="9" t="str">
        <f>IF($H$49="No","Email:","")</f>
        <v/>
      </c>
      <c r="H56" s="25"/>
    </row>
    <row r="57" spans="2:8" ht="23.25" customHeight="1" x14ac:dyDescent="0.35">
      <c r="B57" s="5" t="str">
        <f>IF(OR(Home!$D$7="",Home!$D$8="No"),"",IF(ISBLANK(HLOOKUP(Home!$D$7,$D$2:$F$99,ROW(A56),FALSE)),"",IF(H57="",HLOOKUP(Home!$D$7,$D$2:$F$99,ROW(A56),FALSE),IF(C57=FALSE,"C"))))</f>
        <v/>
      </c>
      <c r="C57" s="5" t="b">
        <v>1</v>
      </c>
      <c r="D57" s="15"/>
      <c r="E57" s="15" t="str">
        <f t="shared" ref="E57:E58" si="9">IF(COUNTIF($B$4:$B$7,"R")&gt;0,"","Y")</f>
        <v>Y</v>
      </c>
      <c r="F57" s="15"/>
      <c r="G57" s="46" t="s">
        <v>12</v>
      </c>
      <c r="H57" s="49"/>
    </row>
    <row r="58" spans="2:8" x14ac:dyDescent="0.35">
      <c r="B58" s="5" t="str">
        <f>IF(OR(Home!$D$7="",Home!$D$8="No"),"",IF(ISBLANK(HLOOKUP(Home!$D$7,$D$2:$F$99,ROW(A57),FALSE)),"",IF(H58="",HLOOKUP(Home!$D$7,$D$2:$F$99,ROW(A57),FALSE),IF(C58=FALSE,"C"))))</f>
        <v/>
      </c>
      <c r="C58" s="5" t="b">
        <v>1</v>
      </c>
      <c r="D58" s="15"/>
      <c r="E58" s="15" t="str">
        <f t="shared" si="9"/>
        <v>Y</v>
      </c>
      <c r="F58" s="15"/>
      <c r="G58" s="47" t="s">
        <v>18</v>
      </c>
      <c r="H58" s="48"/>
    </row>
    <row r="59" spans="2:8" ht="43.5" x14ac:dyDescent="0.35">
      <c r="B59" s="5" t="str">
        <f>IF(OR(Home!$D$7="",Home!$D$8="No"),"",IF(ISBLANK(HLOOKUP(Home!$D$7,$D$2:$F$99,ROW(A58),FALSE)),"",IF(H59="",HLOOKUP(Home!$D$7,$D$2:$F$99,ROW(A58),FALSE),IF(C59=FALSE,"C"))))</f>
        <v/>
      </c>
      <c r="C59" s="5" t="b">
        <v>1</v>
      </c>
      <c r="D59" s="15"/>
      <c r="E59" s="15" t="str">
        <f t="shared" ref="E59:E64" si="10">IF(COUNTIF($B$4:$B$7,"R")&gt;0,"",IF($H$5="Yes","Y","R"))</f>
        <v>R</v>
      </c>
      <c r="F59" s="15"/>
      <c r="G59" s="9" t="s">
        <v>13</v>
      </c>
      <c r="H59" s="25"/>
    </row>
    <row r="60" spans="2:8" ht="87" x14ac:dyDescent="0.35">
      <c r="B60" s="5" t="str">
        <f>IF(OR(Home!$D$7="",Home!$D$8="No"),"",IF(ISBLANK(HLOOKUP(Home!$D$7,$D$2:$F$99,ROW(A59),FALSE)),"",IF(H60="",HLOOKUP(Home!$D$7,$D$2:$F$99,ROW(A59),FALSE),IF(C60=FALSE,"C"))))</f>
        <v/>
      </c>
      <c r="C60" s="5" t="b">
        <v>1</v>
      </c>
      <c r="D60" s="15"/>
      <c r="E60" s="15" t="str">
        <f t="shared" si="10"/>
        <v>R</v>
      </c>
      <c r="F60" s="15"/>
      <c r="G60" s="9" t="s">
        <v>1055</v>
      </c>
      <c r="H60" s="25"/>
    </row>
    <row r="61" spans="2:8" ht="43.5" hidden="1" x14ac:dyDescent="0.35">
      <c r="B61" s="5" t="str">
        <f>IF(OR(Home!$D$7="",Home!$D$8="No"),"",IF(ISBLANK(HLOOKUP(Home!$D$7,$D$2:$F$99,ROW(A60),FALSE)),"",IF(H61="",HLOOKUP(Home!$D$7,$D$2:$F$99,ROW(A60),FALSE),IF(C61=FALSE,"C"))))</f>
        <v/>
      </c>
      <c r="C61" s="5" t="b">
        <v>1</v>
      </c>
      <c r="D61" s="15"/>
      <c r="E61" s="15"/>
      <c r="F61" s="15"/>
      <c r="G61" s="9" t="s">
        <v>1054</v>
      </c>
      <c r="H61" s="25"/>
    </row>
    <row r="62" spans="2:8" ht="87" hidden="1" x14ac:dyDescent="0.35">
      <c r="B62" s="5" t="str">
        <f>IF(OR(Home!$D$7="",Home!$D$8="No"),"",IF(ISBLANK(HLOOKUP(Home!$D$7,$D$2:$F$99,ROW(A61),FALSE)),"",IF(H62="",HLOOKUP(Home!$D$7,$D$2:$F$99,ROW(A61),FALSE),IF(C62=FALSE,"C"))))</f>
        <v/>
      </c>
      <c r="C62" s="5" t="b">
        <v>1</v>
      </c>
      <c r="D62" s="15"/>
      <c r="E62" s="15"/>
      <c r="F62" s="15"/>
      <c r="G62" s="9" t="s">
        <v>96</v>
      </c>
      <c r="H62" s="25"/>
    </row>
    <row r="63" spans="2:8" x14ac:dyDescent="0.35">
      <c r="B63" s="5" t="str">
        <f>IF(OR(Home!$D$7="",Home!$D$8="No"),"",IF(ISBLANK(HLOOKUP(Home!$D$7,$D$2:$F$99,ROW(A62),FALSE)),"",IF(H63="",HLOOKUP(Home!$D$7,$D$2:$F$99,ROW(A62),FALSE),IF(C63=FALSE,"C"))))</f>
        <v/>
      </c>
      <c r="C63" s="5" t="b">
        <v>1</v>
      </c>
      <c r="D63" s="15"/>
      <c r="E63" s="15" t="str">
        <f t="shared" si="10"/>
        <v>R</v>
      </c>
      <c r="F63" s="15"/>
      <c r="G63" s="9" t="str">
        <f>IF(Home!$D$7="Company","5. Are you or any Officer, Owner or Partner in this company an employee of Emory University?",IF(Home!$D$7="Individual","5. Are you an employee of Emory University?",""))</f>
        <v/>
      </c>
      <c r="H63" s="25"/>
    </row>
    <row r="64" spans="2:8" ht="76.25" customHeight="1" x14ac:dyDescent="0.35">
      <c r="B64" s="5" t="str">
        <f>IF(OR(Home!$D$7="",Home!$D$8="No"),"",IF(ISBLANK(HLOOKUP(Home!$D$7,$D$2:$F$99,ROW(A63),FALSE)),"",IF(H64="",HLOOKUP(Home!$D$7,$D$2:$F$99,ROW(A63),FALSE),IF(C64=FALSE,"C"))))</f>
        <v/>
      </c>
      <c r="C64" s="5" t="b">
        <v>1</v>
      </c>
      <c r="D64" s="15"/>
      <c r="E64" s="15" t="str">
        <f t="shared" si="10"/>
        <v>R</v>
      </c>
      <c r="F64" s="15"/>
      <c r="G64" s="35" t="str">
        <f>HYPERLINK("https://emory.ellucid.com/documents/view/17693/?security=353f1df192117ef8139f94032abe5f3cd53a8395",CONCATENATE("6. Is a direct family member of any of the above an Emory University employee (spouse, partner, etc.)?"," Any existing or proposed relationship, transaction, or other event which may raise a conflict of interest is to be disclosed. For detail, click here:"))</f>
        <v>6. Is a direct family member of any of the above an Emory University employee (spouse, partner, etc.)? Any existing or proposed relationship, transaction, or other event which may raise a conflict of interest is to be disclosed. For detail, click here:</v>
      </c>
      <c r="H64" s="25"/>
    </row>
    <row r="65" spans="2:8" ht="30.75" customHeight="1" x14ac:dyDescent="0.35">
      <c r="B65" s="5" t="str">
        <f>IF(OR(Home!$D$7="",Home!$D$8="No"),"",IF(ISBLANK(HLOOKUP(Home!$D$7,$D$2:$F$99,ROW(A64),FALSE)),"",IF(H65="",HLOOKUP(Home!$D$7,$D$2:$F$99,ROW(A64),FALSE),IF(C65=FALSE,"C"))))</f>
        <v/>
      </c>
      <c r="C65" s="5" t="b">
        <v>1</v>
      </c>
      <c r="D65" s="15"/>
      <c r="E65" s="15" t="str">
        <f>IF(COUNTIF($B$4:$B$7,"R")&gt;0,"",IF($H$64="Yes","R","Y"))</f>
        <v>Y</v>
      </c>
      <c r="F65" s="15"/>
      <c r="G65" s="9" t="str">
        <f>IF($H$64="Yes","6a. Please provide the name of the direct family member who is an Emory University employee:","")</f>
        <v/>
      </c>
      <c r="H65" s="25"/>
    </row>
    <row r="66" spans="2:8" ht="30.75" customHeight="1" x14ac:dyDescent="0.35">
      <c r="B66" s="5" t="str">
        <f>IF(OR(Home!$D$7="",Home!$D$8="No"),"",IF(ISBLANK(HLOOKUP(Home!$D$7,$D$2:$F$99,ROW(A65),FALSE)),"",IF(H66="",HLOOKUP(Home!$D$7,$D$2:$F$99,ROW(A65),FALSE),IF(C66=FALSE,"C"))))</f>
        <v/>
      </c>
      <c r="C66" s="5" t="b">
        <v>1</v>
      </c>
      <c r="D66" s="15"/>
      <c r="E66" s="15" t="str">
        <f>IF(COUNTIF($B$4:$B$7,"R")&gt;0,"",IF($H$64="Yes","R","Y"))</f>
        <v>Y</v>
      </c>
      <c r="F66" s="15"/>
      <c r="G66" s="9" t="str">
        <f>IF($H$64="Yes","6b. Please provide the relationship of the direct family member to the Emory University Employee:","")</f>
        <v/>
      </c>
      <c r="H66" s="25"/>
    </row>
    <row r="67" spans="2:8" ht="58" hidden="1" x14ac:dyDescent="0.35">
      <c r="B67" s="5" t="str">
        <f>IF(OR(Home!$D$7="",Home!$D$8="No"),"",IF(ISBLANK(HLOOKUP(Home!$D$7,$D$2:$F$99,ROW(A66),FALSE)),"",IF(H67="",HLOOKUP(Home!$D$7,$D$2:$F$99,ROW(A66),FALSE),IF(C67=FALSE,"C"))))</f>
        <v/>
      </c>
      <c r="C67" s="5" t="b">
        <v>1</v>
      </c>
      <c r="D67" s="15"/>
      <c r="E67" s="13"/>
      <c r="F67" s="15"/>
      <c r="G67" s="9" t="s">
        <v>1049</v>
      </c>
      <c r="H67" s="25"/>
    </row>
    <row r="68" spans="2:8" ht="45.75" hidden="1" customHeight="1" x14ac:dyDescent="0.35">
      <c r="B68" s="5" t="str">
        <f>IF(OR(Home!$D$7="",Home!$D$8="No"),"",IF(ISBLANK(HLOOKUP(Home!$D$7,$D$2:$F$99,ROW(A67),FALSE)),"",IF(H68="",HLOOKUP(Home!$D$7,$D$2:$F$99,ROW(A67),FALSE),IF(C68=FALSE,"C"))))</f>
        <v/>
      </c>
      <c r="C68" s="5" t="b">
        <f>IF(H68="",TRUE,ISNUMBER(FIND("@",H68,1)+FIND(".",H68,1)))</f>
        <v>1</v>
      </c>
      <c r="D68" s="15"/>
      <c r="E68" s="13"/>
      <c r="F68" s="15"/>
      <c r="G68" s="9" t="str">
        <f>IF($H$67='Drop Down'!$D$2,"7a. Please provide the email address where you would want us to send the notification of our payment to you for SUA Payments.","")</f>
        <v/>
      </c>
      <c r="H68" s="26"/>
    </row>
    <row r="69" spans="2:8" ht="70.25" customHeight="1" x14ac:dyDescent="0.35">
      <c r="B69" s="5" t="str">
        <f>IF(OR(Home!$D$7="",Home!$D$8="No"),"",IF(ISBLANK(HLOOKUP(Home!$D$7,$D$2:$F$99,ROW(A68),FALSE)),"",IF(H69="",HLOOKUP(Home!$D$7,$D$2:$F$99,ROW(A68),FALSE),IF(C69=FALSE,"C"))))</f>
        <v/>
      </c>
      <c r="C69" s="5" t="b">
        <v>1</v>
      </c>
      <c r="D69" s="15"/>
      <c r="E69" s="15" t="str">
        <f t="shared" ref="E69" si="11">IF(COUNTIF($B$4:$B$7,"R")&gt;0,"",IF($H$5="Yes","Y","R"))</f>
        <v>R</v>
      </c>
      <c r="F69" s="15"/>
      <c r="G69" s="9" t="str">
        <f>IF(AND(Home!$D$7="Company",OR($H$67="",RIGHT($H$67,8)="Program.")),"",CONCATENATE("8. Do you want to be paid via ACH/Direct Deposit? If No is selected, payment will be remitted via check sent to the billing address provided above."," Please note that payments via check take significantly longer to process in comparision to ACH/Direct Deposit."))</f>
        <v>8. Do you want to be paid via ACH/Direct Deposit? If No is selected, payment will be remitted via check sent to the billing address provided above. Please note that payments via check take significantly longer to process in comparision to ACH/Direct Deposit.</v>
      </c>
      <c r="H69" s="25"/>
    </row>
    <row r="70" spans="2:8" ht="72.5" hidden="1" x14ac:dyDescent="0.35">
      <c r="B70" s="5" t="str">
        <f>IF(OR(Home!$D$7="",Home!$D$8="No"),"",IF(ISBLANK(HLOOKUP(Home!$D$7,$D$2:$F$99,ROW(A69),FALSE)),"",IF(H70="",HLOOKUP(Home!$D$7,$D$2:$F$99,ROW(A69),FALSE),IF(C70=FALSE,"C"))))</f>
        <v/>
      </c>
      <c r="C70" s="5" t="b">
        <v>1</v>
      </c>
      <c r="D70" s="15"/>
      <c r="E70" s="13"/>
      <c r="F70" s="15"/>
      <c r="G70" s="9" t="s">
        <v>1048</v>
      </c>
      <c r="H70" s="25"/>
    </row>
    <row r="71" spans="2:8" ht="43.5" x14ac:dyDescent="0.35">
      <c r="B71" s="5" t="str">
        <f>IF(OR(Home!$D$7="",Home!$D$8="No"),"",IF(ISBLANK(HLOOKUP(Home!$D$7,$D$2:$F$99,ROW(A70),FALSE)),"",IF(H71="",HLOOKUP(Home!$D$7,$D$2:$F$99,ROW(A70),FALSE),IF(C71=FALSE,"C"))))</f>
        <v/>
      </c>
      <c r="C71" s="5" t="b">
        <v>1</v>
      </c>
      <c r="D71" s="15"/>
      <c r="E71" s="15" t="str">
        <f t="shared" ref="E71:E73" si="12">IF(COUNTIF($B$4:$B$7,"R")&gt;0,"",IF($H$5="Yes","Y","R"))</f>
        <v>R</v>
      </c>
      <c r="F71" s="15"/>
      <c r="G71" s="9" t="s">
        <v>82</v>
      </c>
      <c r="H71" s="25"/>
    </row>
    <row r="72" spans="2:8" ht="155.25" customHeight="1" x14ac:dyDescent="0.35">
      <c r="B72" s="5" t="str">
        <f>IF(OR(Home!$D$7="",Home!$D$8="No"),"",IF(ISBLANK(HLOOKUP(Home!$D$7,$D$2:$F$99,ROW(A71),FALSE)),"",IF(H72="",HLOOKUP(Home!$D$7,$D$2:$F$99,ROW(A71),FALSE),IF(C72=FALSE,"C"))))</f>
        <v/>
      </c>
      <c r="C72" s="1" t="b">
        <v>1</v>
      </c>
      <c r="D72" s="15"/>
      <c r="E72" s="15" t="str">
        <f t="shared" si="12"/>
        <v>R</v>
      </c>
      <c r="F72" s="15"/>
      <c r="G72"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72" s="32"/>
    </row>
    <row r="73" spans="2:8" ht="19.5" customHeight="1" x14ac:dyDescent="0.35">
      <c r="B73" s="5" t="str">
        <f>IF(OR(Home!$D$7="",Home!$D$8="No"),"",IF(ISBLANK(HLOOKUP(Home!$D$7,$D$2:$F$99,ROW(A72),FALSE)),"",IF(H73="",HLOOKUP(Home!$D$7,$D$2:$F$99,ROW(A72),FALSE),IF(C73=FALSE,"C"))))</f>
        <v/>
      </c>
      <c r="C73" s="5" t="b">
        <v>1</v>
      </c>
      <c r="D73" s="15"/>
      <c r="E73" s="15" t="str">
        <f t="shared" si="12"/>
        <v>R</v>
      </c>
      <c r="F73" s="15"/>
      <c r="G73" s="9" t="s">
        <v>101</v>
      </c>
      <c r="H73" s="27"/>
    </row>
    <row r="74" spans="2:8" ht="15" customHeight="1" x14ac:dyDescent="0.35">
      <c r="B74" s="5" t="str">
        <f>IF(OR(Home!$D$7="",Home!$D$8="No"),"",IF(ISBLANK(HLOOKUP(Home!$D$7,$D$2:$F$99,ROW(A73),FALSE)),"",IF(H74="",HLOOKUP(Home!$D$7,$D$2:$F$99,ROW(A73),FALSE),IF(C74=FALSE,"C"))))</f>
        <v/>
      </c>
      <c r="C74" s="5" t="b">
        <v>1</v>
      </c>
      <c r="D74" s="15"/>
      <c r="E74" s="15" t="str">
        <f t="shared" ref="E74" si="13">IF(COUNTIF($B$4:$B$7,"R")&gt;0,"","Y")</f>
        <v>Y</v>
      </c>
      <c r="F74" s="15"/>
      <c r="G74" s="46"/>
      <c r="H74" s="49"/>
    </row>
    <row r="75" spans="2:8" ht="26" x14ac:dyDescent="0.35">
      <c r="B75" s="5" t="str">
        <f>IF(OR(Home!$D$7="",Home!$D$8="No"),"",IF(ISBLANK(HLOOKUP(Home!$D$7,$D$2:$F$99,ROW(A74),FALSE)),"",IF(H75="",HLOOKUP(Home!$D$7,$D$2:$F$99,ROW(A74),FALSE),IF(C75=FALSE,"C"))))</f>
        <v/>
      </c>
      <c r="C75" s="1" t="b">
        <v>1</v>
      </c>
      <c r="D75" s="16"/>
      <c r="E75" s="16" t="str">
        <f>IF(COUNTIF($B$4:$B$7,"R")&gt;0,"",IF(OR($H$5="Yes",$H$69="Yes"),"Y",""))</f>
        <v/>
      </c>
      <c r="F75" s="14"/>
      <c r="G75" s="54" t="s">
        <v>95</v>
      </c>
      <c r="H75" s="54"/>
    </row>
    <row r="76" spans="2:8" x14ac:dyDescent="0.35">
      <c r="B76" s="5" t="str">
        <f>IF(OR(Home!$D$7="",Home!$D$8="No"),"",IF(ISBLANK(HLOOKUP(Home!$D$7,$D$2:$F$99,ROW(A75),FALSE)),"",IF(H76="",HLOOKUP(Home!$D$7,$D$2:$F$99,ROW(A75),FALSE),IF(C76=FALSE,"C"))))</f>
        <v/>
      </c>
      <c r="C76" s="1" t="b">
        <v>1</v>
      </c>
      <c r="D76" s="16"/>
      <c r="E76" s="16" t="str">
        <f>IF(COUNTIF($B$4:$B$7,"R")&gt;0,"",IF(OR($H$5="Yes",$H$69="Yes"),"Y",""))</f>
        <v/>
      </c>
      <c r="F76" s="14"/>
      <c r="G76" s="55" t="str">
        <f>Home!D7&amp;" Information"</f>
        <v xml:space="preserve"> Information</v>
      </c>
      <c r="H76" s="56"/>
    </row>
    <row r="77" spans="2:8" x14ac:dyDescent="0.35">
      <c r="B77" s="5" t="str">
        <f>IF(OR(Home!$D$7="",Home!$D$8="No"),"",IF(ISBLANK(HLOOKUP(Home!$D$7,$D$2:$F$99,ROW(A76),FALSE)),"",IF(H77="",HLOOKUP(Home!$D$7,$D$2:$F$99,ROW(A76),FALSE),IF(C77=FALSE,"C"))))</f>
        <v/>
      </c>
      <c r="C77" s="1" t="b">
        <v>1</v>
      </c>
      <c r="D77" s="16"/>
      <c r="E77" s="16" t="str">
        <f>IF(COUNTIF($B$4:$B$7,"R")&gt;0,"",IF(OR($H$5="Yes",$H$69="Yes"),"R",""))</f>
        <v/>
      </c>
      <c r="F77" s="14"/>
      <c r="G77" s="3" t="str">
        <f>Home!D7&amp;" Name:"</f>
        <v xml:space="preserve"> Name:</v>
      </c>
      <c r="H77" s="25"/>
    </row>
    <row r="78" spans="2:8" hidden="1" x14ac:dyDescent="0.35">
      <c r="B78" s="5" t="str">
        <f>IF(OR(Home!$D$7="",Home!$D$8="No"),"",IF(ISBLANK(HLOOKUP(Home!$D$7,$D$2:$F$99,ROW(A77),FALSE)),"",IF(H78="",HLOOKUP(Home!$D$7,$D$2:$F$99,ROW(A77),FALSE),IF(C78=FALSE,"C"))))</f>
        <v/>
      </c>
      <c r="C78" s="1" t="b">
        <v>1</v>
      </c>
      <c r="D78" s="16"/>
      <c r="E78" s="14"/>
      <c r="F78" s="14"/>
      <c r="G78" s="3" t="str">
        <f>Home!D7&amp;" Division Name:"</f>
        <v xml:space="preserve"> Division Name:</v>
      </c>
      <c r="H78" s="25"/>
    </row>
    <row r="79" spans="2:8" hidden="1" x14ac:dyDescent="0.35">
      <c r="B79" s="5" t="str">
        <f>IF(OR(Home!$D$7="",Home!$D$8="No"),"",IF(ISBLANK(HLOOKUP(Home!$D$7,$D$2:$F$99,ROW(A78),FALSE)),"",IF(H79="",HLOOKUP(Home!$D$7,$D$2:$F$99,ROW(A78),FALSE),IF(C79=FALSE,"C"))))</f>
        <v/>
      </c>
      <c r="C79" s="5" t="b">
        <f>ISNUMBER(H79+0)</f>
        <v>1</v>
      </c>
      <c r="D79" s="16"/>
      <c r="E79" s="13"/>
      <c r="F79" s="13"/>
      <c r="G79" s="9" t="s">
        <v>15</v>
      </c>
      <c r="H79" s="25"/>
    </row>
    <row r="80" spans="2:8" x14ac:dyDescent="0.35">
      <c r="B80" s="5" t="str">
        <f>IF(OR(Home!$D$7="",Home!$D$8="No"),"",IF(ISBLANK(HLOOKUP(Home!$D$7,$D$2:$F$99,ROW(A79),FALSE)),"",IF(H80="",HLOOKUP(Home!$D$7,$D$2:$F$99,ROW(A79),FALSE),IF(C80=FALSE,"C"))))</f>
        <v/>
      </c>
      <c r="C80" s="5" t="b">
        <f>ISNUMBER(H80+0)</f>
        <v>1</v>
      </c>
      <c r="D80" s="16"/>
      <c r="E80" s="16" t="str">
        <f>IF(COUNTIF($B$4:$B$7,"R")&gt;0,"",IF(OR($H$5="Yes",$H$69="Yes"),"R",""))</f>
        <v/>
      </c>
      <c r="F80" s="15"/>
      <c r="G80" s="9" t="str">
        <f>IF(OR(Home!$D$7="Study Participant",Home!$D$7="Individual"),"Social Security Number (9 Digits):","Taxpayer Identification Number (9 Digits):")</f>
        <v>Taxpayer Identification Number (9 Digits):</v>
      </c>
      <c r="H80" s="25"/>
    </row>
    <row r="81" spans="2:8" x14ac:dyDescent="0.35">
      <c r="B81" s="5" t="str">
        <f>IF(OR(Home!$D$7="",Home!$D$8="No"),"",IF(ISBLANK(HLOOKUP(Home!$D$7,$D$2:$F$99,ROW(A80),FALSE)),"",IF(H81="",HLOOKUP(Home!$D$7,$D$2:$F$99,ROW(A80),FALSE),IF(C81=FALSE,"C"))))</f>
        <v/>
      </c>
      <c r="C81" s="5" t="b">
        <v>1</v>
      </c>
      <c r="D81" s="16"/>
      <c r="E81" s="16" t="str">
        <f>IF(COUNTIF($B$4:$B$7,"R")&gt;0,"",IF(OR($H$5="Yes",$H$69="Yes"),"R",""))</f>
        <v/>
      </c>
      <c r="F81" s="14"/>
      <c r="G81" s="3" t="str">
        <f>Home!D7&amp;" ACH Remittance Contact Name:"</f>
        <v xml:space="preserve"> ACH Remittance Contact Name:</v>
      </c>
      <c r="H81" s="25"/>
    </row>
    <row r="82" spans="2:8" x14ac:dyDescent="0.35">
      <c r="B82" s="5" t="str">
        <f>IF(OR(Home!$D$7="",Home!$D$8="No"),"",IF(ISBLANK(HLOOKUP(Home!$D$7,$D$2:$F$99,ROW(A81),FALSE)),"",IF(H82="",HLOOKUP(Home!$D$7,$D$2:$F$99,ROW(A81),FALSE),IF(C82=FALSE,"C"))))</f>
        <v/>
      </c>
      <c r="C82" s="5" t="b">
        <f>AND(ISNUMBER(H82+0),LEFT(H82,1)="1")</f>
        <v>0</v>
      </c>
      <c r="D82" s="16"/>
      <c r="E82" s="16" t="str">
        <f>IF(COUNTIF($B$4:$B$7,"R")&gt;0,"",IF(OR($H$5="Yes",$H$69="Yes"),"R",""))</f>
        <v/>
      </c>
      <c r="F82" s="14"/>
      <c r="G82" s="3" t="str">
        <f>Home!D7&amp;" ACH Remittance Contact Phone:"</f>
        <v xml:space="preserve"> ACH Remittance Contact Phone:</v>
      </c>
      <c r="H82" s="25"/>
    </row>
    <row r="83" spans="2:8" x14ac:dyDescent="0.35">
      <c r="B83" s="5" t="str">
        <f>IF(OR(Home!$D$7="",Home!$D$8="No"),"",IF(ISBLANK(HLOOKUP(Home!$D$7,$D$2:$F$99,ROW(A82),FALSE)),"",IF(H83="",HLOOKUP(Home!$D$7,$D$2:$F$99,ROW(A82),FALSE),IF(C83=FALSE,"C"))))</f>
        <v/>
      </c>
      <c r="C83" s="5" t="b">
        <f>IF(H83="",TRUE,ISNUMBER(FIND("@",H83,1)+FIND(".",H83,1)))</f>
        <v>1</v>
      </c>
      <c r="D83" s="16"/>
      <c r="E83" s="16" t="str">
        <f>IF(COUNTIF($B$4:$B$7,"R")&gt;0,"",IF(OR($H$5="Yes",$H$69="Yes"),"R",""))</f>
        <v/>
      </c>
      <c r="F83" s="14"/>
      <c r="G83" s="3" t="str">
        <f>Home!D7&amp;" ACH Remittance Email:"</f>
        <v xml:space="preserve"> ACH Remittance Email:</v>
      </c>
      <c r="H83" s="26"/>
    </row>
    <row r="84" spans="2:8" x14ac:dyDescent="0.35">
      <c r="B84" s="5" t="str">
        <f>IF(OR(Home!$D$7="",Home!$D$8="No"),"",IF(ISBLANK(HLOOKUP(Home!$D$7,$D$2:$F$99,ROW(A83),FALSE)),"",IF(H84="",HLOOKUP(Home!$D$7,$D$2:$F$99,ROW(A83),FALSE),IF(C84=FALSE,"C"))))</f>
        <v/>
      </c>
      <c r="C84" s="1" t="b">
        <v>1</v>
      </c>
      <c r="D84" s="16"/>
      <c r="E84" s="16" t="str">
        <f>IF(COUNTIF($B$4:$B$7,"R")&gt;0,"",IF(OR($H$5="Yes",$H$69="Yes"),"Y",""))</f>
        <v/>
      </c>
      <c r="F84" s="14"/>
      <c r="G84" s="55" t="str">
        <f>Home!D7&amp;" Remittance Address"</f>
        <v xml:space="preserve"> Remittance Address</v>
      </c>
      <c r="H84" s="56"/>
    </row>
    <row r="85" spans="2:8" x14ac:dyDescent="0.35">
      <c r="B85" s="5" t="str">
        <f>IF(OR(Home!$D$7="",Home!$D$8="No"),"",IF(ISBLANK(HLOOKUP(Home!$D$7,$D$2:$F$99,ROW(A84),FALSE)),"",IF(H85="",HLOOKUP(Home!$D$7,$D$2:$F$99,ROW(A84),FALSE),IF(C85=FALSE,"C"))))</f>
        <v/>
      </c>
      <c r="C85" s="5" t="b">
        <v>1</v>
      </c>
      <c r="D85" s="16"/>
      <c r="E85" s="16" t="str">
        <f>IF(COUNTIF($B$4:$B$7,"R")&gt;0,"",IF(OR($H$5="Yes",$H$69="Yes"),"R",""))</f>
        <v/>
      </c>
      <c r="F85" s="14"/>
      <c r="G85" s="3" t="str">
        <f>Home!D7&amp;" Remittance Address Line 1:"</f>
        <v xml:space="preserve"> Remittance Address Line 1:</v>
      </c>
      <c r="H85" s="25"/>
    </row>
    <row r="86" spans="2:8" x14ac:dyDescent="0.35">
      <c r="B86" s="5" t="str">
        <f>IF(OR(Home!$D$7="",Home!$D$8="No"),"",IF(ISBLANK(HLOOKUP(Home!$D$7,$D$2:$F$99,ROW(A85),FALSE)),"",IF(H86="",HLOOKUP(Home!$D$7,$D$2:$F$99,ROW(A85),FALSE),IF(C86=FALSE,"C"))))</f>
        <v/>
      </c>
      <c r="C86" s="5" t="b">
        <v>1</v>
      </c>
      <c r="D86" s="16"/>
      <c r="E86" s="16" t="str">
        <f>IF(COUNTIF($B$4:$B$7,"R")&gt;0,"",IF(OR($H$5="Yes",$H$69="Yes"),"Y",""))</f>
        <v/>
      </c>
      <c r="F86" s="14"/>
      <c r="G86" s="3" t="str">
        <f>Home!D7&amp;" Remittance Address Line 2:"</f>
        <v xml:space="preserve"> Remittance Address Line 2:</v>
      </c>
      <c r="H86" s="25"/>
    </row>
    <row r="87" spans="2:8" x14ac:dyDescent="0.35">
      <c r="B87" s="5" t="str">
        <f>IF(OR(Home!$D$7="",Home!$D$8="No"),"",IF(ISBLANK(HLOOKUP(Home!$D$7,$D$2:$F$99,ROW(A86),FALSE)),"",IF(H87="",HLOOKUP(Home!$D$7,$D$2:$F$99,ROW(A86),FALSE),IF(C87=FALSE,"C"))))</f>
        <v/>
      </c>
      <c r="C87" s="5" t="b">
        <v>1</v>
      </c>
      <c r="D87" s="16"/>
      <c r="E87" s="16" t="str">
        <f t="shared" ref="E87:E89" si="14">IF(COUNTIF($B$4:$B$7,"R")&gt;0,"",IF(OR($H$5="Yes",$H$69="Yes"),"R",""))</f>
        <v/>
      </c>
      <c r="F87" s="14"/>
      <c r="G87" s="3" t="s">
        <v>6</v>
      </c>
      <c r="H87" s="25"/>
    </row>
    <row r="88" spans="2:8" x14ac:dyDescent="0.35">
      <c r="B88" s="5" t="str">
        <f>IF(OR(Home!$D$7="",Home!$D$8="No"),"",IF(ISBLANK(HLOOKUP(Home!$D$7,$D$2:$F$99,ROW(A87),FALSE)),"",IF(H88="",HLOOKUP(Home!$D$7,$D$2:$F$99,ROW(A87),FALSE),IF(C88=FALSE,"C"))))</f>
        <v/>
      </c>
      <c r="C88" s="5" t="b">
        <v>1</v>
      </c>
      <c r="D88" s="16"/>
      <c r="E88" s="16" t="str">
        <f t="shared" si="14"/>
        <v/>
      </c>
      <c r="F88" s="14"/>
      <c r="G88" s="3" t="s">
        <v>7</v>
      </c>
      <c r="H88" s="25"/>
    </row>
    <row r="89" spans="2:8" x14ac:dyDescent="0.35">
      <c r="B89" s="5" t="str">
        <f>IF(OR(Home!$D$7="",Home!$D$8="No"),"",IF(ISBLANK(HLOOKUP(Home!$D$7,$D$2:$F$99,ROW(A88),FALSE)),"",IF(H89="",HLOOKUP(Home!$D$7,$D$2:$F$99,ROW(A88),FALSE),IF(C89=FALSE,"C"))))</f>
        <v/>
      </c>
      <c r="C89" s="5" t="b">
        <v>1</v>
      </c>
      <c r="D89" s="16"/>
      <c r="E89" s="16" t="str">
        <f t="shared" si="14"/>
        <v/>
      </c>
      <c r="F89" s="14"/>
      <c r="G89" s="3" t="s">
        <v>8</v>
      </c>
      <c r="H89" s="25"/>
    </row>
    <row r="90" spans="2:8" x14ac:dyDescent="0.35">
      <c r="B90" s="5" t="str">
        <f>IF(OR(Home!$D$7="",Home!$D$8="No"),"",IF(ISBLANK(HLOOKUP(Home!$D$7,$D$2:$F$99,ROW(A89),FALSE)),"",IF(H90="",HLOOKUP(Home!$D$7,$D$2:$F$99,ROW(A89),FALSE),IF(C90=FALSE,"C"))))</f>
        <v/>
      </c>
      <c r="C90" s="1" t="b">
        <v>1</v>
      </c>
      <c r="D90" s="16"/>
      <c r="E90" s="16" t="str">
        <f>IF(COUNTIF($B$4:$B$7,"R")&gt;0,"",IF(OR($H$5="Yes",$H$69="Yes"),"Y",""))</f>
        <v/>
      </c>
      <c r="F90" s="14"/>
      <c r="G90" s="55" t="s">
        <v>24</v>
      </c>
      <c r="H90" s="56"/>
    </row>
    <row r="91" spans="2:8" x14ac:dyDescent="0.35">
      <c r="B91" s="5" t="str">
        <f>IF(OR(Home!$D$7="",Home!$D$8="No"),"",IF(ISBLANK(HLOOKUP(Home!$D$7,$D$2:$F$99,ROW(A90),FALSE)),"",IF(H91="",HLOOKUP(Home!$D$7,$D$2:$F$99,ROW(A90),FALSE),IF(C91=FALSE,"C"))))</f>
        <v/>
      </c>
      <c r="C91" s="1" t="b">
        <v>1</v>
      </c>
      <c r="D91" s="16"/>
      <c r="E91" s="16" t="str">
        <f t="shared" ref="E91:E93" si="15">IF(COUNTIF($B$4:$B$7,"R")&gt;0,"",IF(OR($H$5="Yes",$H$69="Yes"),"R",""))</f>
        <v/>
      </c>
      <c r="F91" s="14"/>
      <c r="G91" s="3" t="s">
        <v>25</v>
      </c>
      <c r="H91" s="25"/>
    </row>
    <row r="92" spans="2:8" x14ac:dyDescent="0.35">
      <c r="B92" s="5" t="str">
        <f>IF(OR(Home!$D$7="",Home!$D$8="No"),"",IF(ISBLANK(HLOOKUP(Home!$D$7,$D$2:$F$99,ROW(A91),FALSE)),"",IF(H92="",HLOOKUP(Home!$D$7,$D$2:$F$99,ROW(A91),FALSE),IF(C92=FALSE,"C"))))</f>
        <v/>
      </c>
      <c r="C92" s="5" t="b">
        <f>ISNUMBER(H92+0)</f>
        <v>1</v>
      </c>
      <c r="D92" s="16"/>
      <c r="E92" s="16" t="str">
        <f t="shared" si="15"/>
        <v/>
      </c>
      <c r="F92" s="14"/>
      <c r="G92" s="3" t="s">
        <v>26</v>
      </c>
      <c r="H92" s="25"/>
    </row>
    <row r="93" spans="2:8" x14ac:dyDescent="0.35">
      <c r="B93" s="5" t="str">
        <f>IF(OR(Home!$D$7="",Home!$D$8="No"),"",IF(ISBLANK(HLOOKUP(Home!$D$7,$D$2:$F$99,ROW(A92),FALSE)),"",IF(H93="",HLOOKUP(Home!$D$7,$D$2:$F$99,ROW(A92),FALSE),IF(C93=FALSE,"C"))))</f>
        <v/>
      </c>
      <c r="C93" s="5" t="b">
        <f>ISNUMBER(H93+0)</f>
        <v>1</v>
      </c>
      <c r="D93" s="16"/>
      <c r="E93" s="16" t="str">
        <f t="shared" si="15"/>
        <v/>
      </c>
      <c r="F93" s="14"/>
      <c r="G93" s="3" t="s">
        <v>27</v>
      </c>
      <c r="H93" s="25"/>
    </row>
    <row r="94" spans="2:8" x14ac:dyDescent="0.35">
      <c r="B94" s="5" t="str">
        <f>IF(OR(Home!$D$7="",Home!$D$8="No"),"",IF(ISBLANK(HLOOKUP(Home!$D$7,$D$2:$F$99,ROW(A93),FALSE)),"",IF(H94="",HLOOKUP(Home!$D$7,$D$2:$F$99,ROW(A93),FALSE),IF(C94=FALSE,"C"))))</f>
        <v/>
      </c>
      <c r="C94" s="1" t="b">
        <v>1</v>
      </c>
      <c r="D94" s="16"/>
      <c r="E94" s="16" t="str">
        <f>IF(COUNTIF($B$4:$B$7,"R")&gt;0,"",IF(OR($H$5="Yes",$H$69="Yes"),"Y",""))</f>
        <v/>
      </c>
      <c r="F94" s="14"/>
      <c r="G94" s="55" t="str">
        <f>Home!D7&amp;" Authorization"</f>
        <v xml:space="preserve"> Authorization</v>
      </c>
      <c r="H94" s="56"/>
    </row>
    <row r="95" spans="2:8" x14ac:dyDescent="0.35">
      <c r="B95" s="5" t="str">
        <f>IF(OR(Home!$D$7="",Home!$D$8="No"),"",IF(ISBLANK(HLOOKUP(Home!$D$7,$D$2:$F$99,ROW(A94),FALSE)),"",IF(H95="",HLOOKUP(Home!$D$7,$D$2:$F$99,ROW(A94),FALSE),IF(C95=FALSE,"C"))))</f>
        <v/>
      </c>
      <c r="C95" s="1" t="b">
        <v>1</v>
      </c>
      <c r="D95" s="16"/>
      <c r="E95" s="16" t="str">
        <f>IF(COUNTIF($B$4:$B$7,"R")&gt;0,"",IF(OR($H$5="Yes",$H$69="Yes"),"Y",""))</f>
        <v/>
      </c>
      <c r="F95" s="14"/>
      <c r="G95" s="57" t="s">
        <v>94</v>
      </c>
      <c r="H95" s="58"/>
    </row>
    <row r="96" spans="2:8" ht="152.25" customHeight="1" x14ac:dyDescent="0.35">
      <c r="B96" s="5" t="str">
        <f>IF(OR(Home!$D$7="",Home!$D$8="No"),"",IF(ISBLANK(HLOOKUP(Home!$D$7,$D$2:$F$99,ROW(A95),FALSE)),"",IF(H96="",HLOOKUP(Home!$D$7,$D$2:$F$99,ROW(A95),FALSE),IF(C96=FALSE,"C"))))</f>
        <v/>
      </c>
      <c r="C96" s="1" t="b">
        <v>1</v>
      </c>
      <c r="D96" s="16"/>
      <c r="E96" s="16" t="str">
        <f>IF(COUNTIF($B$4:$B$7,"R")&gt;0,"",IF(OR($H$5="Yes",$H$69="Yes"),"R",""))</f>
        <v/>
      </c>
      <c r="F96" s="14"/>
      <c r="G96"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96" s="32"/>
    </row>
    <row r="97" spans="2:8" x14ac:dyDescent="0.35">
      <c r="B97" s="5" t="str">
        <f>IF(OR(Home!$D$7="",Home!$D$8="No"),"",IF(ISBLANK(HLOOKUP(Home!$D$7,$D$2:$F$99,ROW(A96),FALSE)),"",IF(H97="",HLOOKUP(Home!$D$7,$D$2:$F$99,ROW(A96),FALSE),IF(C97=FALSE,"C"))))</f>
        <v/>
      </c>
      <c r="C97" s="1" t="b">
        <v>1</v>
      </c>
      <c r="D97" s="16"/>
      <c r="E97" s="16" t="str">
        <f>IF(COUNTIF($B$4:$B$7,"R")&gt;0,"",IF(OR($H$5="Yes",$H$69="Yes"),"R",""))</f>
        <v/>
      </c>
      <c r="F97" s="14"/>
      <c r="G97" s="3" t="s">
        <v>101</v>
      </c>
      <c r="H97" s="27"/>
    </row>
    <row r="98" spans="2:8" hidden="1" x14ac:dyDescent="0.35">
      <c r="B98" s="5" t="str">
        <f>IF(OR(Home!$D$7="",Home!$D$8="No"),"",IF(ISBLANK(HLOOKUP(Home!$D$7,$D$2:$F$99,ROW(A97),FALSE)),"",IF(H98="",HLOOKUP(Home!$D$7,$D$2:$F$99,ROW(A97),FALSE),IF(C98=FALSE,"C"))))</f>
        <v/>
      </c>
      <c r="C98" s="1" t="b">
        <v>1</v>
      </c>
      <c r="D98" s="16"/>
      <c r="E98" s="14"/>
      <c r="F98" s="14"/>
      <c r="G98" s="3" t="s">
        <v>100</v>
      </c>
      <c r="H98" s="25"/>
    </row>
    <row r="99" spans="2:8" hidden="1" x14ac:dyDescent="0.35">
      <c r="B99" s="5" t="str">
        <f>IF(OR(Home!$D$7="",Home!$D$8="No"),"",IF(ISBLANK(HLOOKUP(Home!$D$7,$D$2:$F$99,ROW(A98),FALSE)),"",IF(H99="",HLOOKUP(Home!$D$7,$D$2:$F$99,ROW(A98),FALSE),IF(C99=FALSE,"C"))))</f>
        <v/>
      </c>
      <c r="C99" s="5" t="b">
        <f>AND(ISNUMBER(H99+0),LEFT(H99,1)="1")</f>
        <v>0</v>
      </c>
      <c r="D99" s="16"/>
      <c r="E99" s="14"/>
      <c r="F99" s="14"/>
      <c r="G99" s="3" t="s">
        <v>99</v>
      </c>
      <c r="H99" s="25"/>
    </row>
  </sheetData>
  <sheetProtection algorithmName="SHA-512" hashValue="awcWPYD44POaAn4NZgKVdCNzKiHcspzTgF8ipRupm57vpevpziwpuhWzeijM2YYVJ+PeEeWKcqaTcLeI2OU8qg==" saltValue="T6cuEBagWqdjAxB7zBUoAA==" spinCount="100000" sheet="1" formatRows="0" selectLockedCells="1"/>
  <autoFilter ref="B2:F99" xr:uid="{306DB0EA-EB5A-4E84-8716-9E6116845EFE}">
    <filterColumn colId="3">
      <customFilters>
        <customFilter operator="notEqual" val=" "/>
      </customFilters>
    </filterColumn>
  </autoFilter>
  <mergeCells count="16">
    <mergeCell ref="G84:H84"/>
    <mergeCell ref="G90:H90"/>
    <mergeCell ref="G94:H94"/>
    <mergeCell ref="G95:H95"/>
    <mergeCell ref="G48:H48"/>
    <mergeCell ref="G57:H57"/>
    <mergeCell ref="G58:H58"/>
    <mergeCell ref="G74:H74"/>
    <mergeCell ref="G75:H75"/>
    <mergeCell ref="G76:H76"/>
    <mergeCell ref="G37:H37"/>
    <mergeCell ref="G2:H2"/>
    <mergeCell ref="G3:H3"/>
    <mergeCell ref="G8:H8"/>
    <mergeCell ref="G9:H9"/>
    <mergeCell ref="G29:H29"/>
  </mergeCells>
  <conditionalFormatting sqref="G2:H99">
    <cfRule type="expression" dxfId="14" priority="1">
      <formula>$B2=""</formula>
    </cfRule>
  </conditionalFormatting>
  <conditionalFormatting sqref="J2">
    <cfRule type="expression" dxfId="13" priority="2">
      <formula>$B2=""</formula>
    </cfRule>
  </conditionalFormatting>
  <conditionalFormatting sqref="G2:H2">
    <cfRule type="expression" dxfId="12" priority="5">
      <formula>LEFT($G$2,9)="Completed"</formula>
    </cfRule>
  </conditionalFormatting>
  <conditionalFormatting sqref="H3:H99">
    <cfRule type="expression" dxfId="11" priority="3">
      <formula>$B3="C"</formula>
    </cfRule>
    <cfRule type="expression" dxfId="10" priority="4">
      <formula>$B3="R"</formula>
    </cfRule>
  </conditionalFormatting>
  <dataValidations count="13">
    <dataValidation type="list" allowBlank="1" showInputMessage="1" showErrorMessage="1" sqref="H21:H28" xr:uid="{64D0094F-4F84-4CF9-B942-CDD810E27258}">
      <formula1>"No,Yes - Certified,Yes - Self-Identified"</formula1>
    </dataValidation>
    <dataValidation type="list" allowBlank="1" showInputMessage="1" showErrorMessage="1" sqref="H20" xr:uid="{A89A2DAF-6C53-42A4-A855-6A16DAD607AC}">
      <formula1>"No,Yes - Small and Diverse,Yes - Small Only,Yes - Diverse Only"</formula1>
    </dataValidation>
    <dataValidation type="list" allowBlank="1" showInputMessage="1" showErrorMessage="1" sqref="H70" xr:uid="{6FF06180-4881-430E-9D4E-B572D4B7963B}">
      <formula1>"My company is already registered with SAM,My company plans to regiser with SAM,My company does not plan to regiser with SAM"</formula1>
    </dataValidation>
    <dataValidation type="list" allowBlank="1" showInputMessage="1" showErrorMessage="1" sqref="H71 H69 H41 H49 H4:H6 H59:H64" xr:uid="{0B83E459-EB17-4A60-8982-6C3AD343B3DC}">
      <formula1>"Yes,No"</formula1>
    </dataValidation>
    <dataValidation type="textLength" allowBlank="1" showInputMessage="1" showErrorMessage="1" promptTitle="Routing Number" prompt="This field requires 9 digits without any special characters." sqref="H92" xr:uid="{8FDD43BA-AF6C-486B-980B-1E8518872441}">
      <formula1>9</formula1>
      <formula2>9</formula2>
    </dataValidation>
    <dataValidation type="textLength" allowBlank="1" showInputMessage="1" showErrorMessage="1" promptTitle="Fax Number" prompt="Requires 11 digits with no special characters and the first digit must start with the number 1." sqref="H40" xr:uid="{74FA5BFB-9FFB-45C4-AE1F-8C3C92AB65D6}">
      <formula1>11</formula1>
      <formula2>11</formula2>
    </dataValidation>
    <dataValidation type="textLength" allowBlank="1" showInputMessage="1" showErrorMessage="1" promptTitle="TIN Number" prompt="This field requires 9 digits without any special characters._x000a__x000a_Example of Acceptable Format: _x000a_272786963_x000a__x000a_Example of Unacceptable Format: _x000a_272-78-6963" sqref="H17 H80" xr:uid="{60747792-F1BA-4AC6-8BD7-0B22AE4C6B7E}">
      <formula1>9</formula1>
      <formula2>9</formula2>
    </dataValidation>
    <dataValidation type="textLength" allowBlank="1" showInputMessage="1" showErrorMessage="1" promptTitle="DUNS Number" prompt="The DUNS Number is a Dun and Bradstreet 9 digit number with no special characters. If you do not know your DUNS number, you may look it up or request one at the following link https://www.dnb.com/duns-number.html" sqref="H12 H79" xr:uid="{52BD4138-FBFC-4D28-B2D8-F0C94BAF84EA}">
      <formula1>9</formula1>
      <formula2>9</formula2>
    </dataValidation>
    <dataValidation type="textLength" allowBlank="1" showInputMessage="1" showErrorMessage="1" promptTitle="Phone Number" prompt="Requires 11 digits with no special characters and the first digit must start with the number 1." sqref="H14 H35 H47 H55 H82 H99" xr:uid="{CECCD3B0-8A3C-44FE-94AC-08A57E626C48}">
      <formula1>11</formula1>
      <formula2>11</formula2>
    </dataValidation>
    <dataValidation type="list" allowBlank="1" showInputMessage="1" showErrorMessage="1" sqref="H18" xr:uid="{FAFBAED9-520E-46FA-955D-5E8EDCAB12F6}">
      <formula1>"Sole Proprietor or Single Member LLC, C Corporation, S Corporation, Partnership, Trust/Estate, Limited Liability Company (LLC),Government,Non-Profit"</formula1>
    </dataValidation>
    <dataValidation type="list" allowBlank="1" showInputMessage="1" showErrorMessage="1" sqref="H19" xr:uid="{F9722909-F334-468E-8B77-966C14033716}">
      <formula1>"C Corporation, S Corporation, Partnership"</formula1>
    </dataValidation>
    <dataValidation type="list" allowBlank="1" showInputMessage="1" showErrorMessage="1" sqref="H16" xr:uid="{7582438C-D046-4609-A62E-A62A1D30E375}">
      <formula1>"Employer Identification Number (EIN),Social Security Number (SSN)"</formula1>
    </dataValidation>
    <dataValidation type="list" allowBlank="1" showInputMessage="1" showErrorMessage="1" sqref="H38" xr:uid="{F4FDAFB1-512E-42C8-A4DF-3E4ED8110079}">
      <formula1>"Email (Plain Text Format),Email (HTML Format),Fax"</formula1>
    </dataValidation>
  </dataValidations>
  <pageMargins left="0.7" right="0.7" top="0.75" bottom="0.75" header="0.3" footer="0.3"/>
  <pageSetup scale="4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28075E1-F911-4D4A-AA05-E9554FBDD041}">
          <x14:formula1>
            <xm:f>'Drop Down'!$B$2:$B$53</xm:f>
          </x14:formula1>
          <xm:sqref>H45 H33 H53 H88</xm:sqref>
        </x14:dataValidation>
        <x14:dataValidation type="list" allowBlank="1" showInputMessage="1" showErrorMessage="1" xr:uid="{CDEDF2B3-5124-4A3B-8A14-BF0EA9339D6E}">
          <x14:formula1>
            <xm:f>'Drop Down'!$D$2:$D$7</xm:f>
          </x14:formula1>
          <xm:sqref>H67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B83E-1438-42D1-83BA-154D15C052C4}">
  <sheetPr filterMode="1">
    <pageSetUpPr fitToPage="1"/>
  </sheetPr>
  <dimension ref="B1:J99"/>
  <sheetViews>
    <sheetView showGridLines="0" zoomScaleNormal="100" workbookViewId="0">
      <pane ySplit="2" topLeftCell="A3" activePane="bottomLeft" state="frozen"/>
      <selection pane="bottomLeft" activeCell="H10" sqref="H10"/>
    </sheetView>
  </sheetViews>
  <sheetFormatPr defaultColWidth="9.08984375" defaultRowHeight="14.5" x14ac:dyDescent="0.35"/>
  <cols>
    <col min="1" max="1" width="1.08984375" style="8" customWidth="1"/>
    <col min="2" max="2" width="12.54296875" style="5" hidden="1" customWidth="1"/>
    <col min="3" max="3" width="9.90625" style="5" hidden="1" customWidth="1"/>
    <col min="4" max="4" width="9.6328125" style="5" hidden="1" customWidth="1"/>
    <col min="5" max="5" width="9.90625" style="5" hidden="1" customWidth="1"/>
    <col min="6" max="6" width="10.54296875" style="5" hidden="1" customWidth="1"/>
    <col min="7" max="7" width="56.36328125" style="6" customWidth="1"/>
    <col min="8" max="8" width="78.08984375" style="17" customWidth="1"/>
    <col min="9" max="9" width="1.36328125" style="8" customWidth="1"/>
    <col min="10" max="10" width="12" style="8" customWidth="1"/>
    <col min="11" max="16384" width="9.08984375" style="8"/>
  </cols>
  <sheetData>
    <row r="1" spans="2:10" ht="15" thickBot="1" x14ac:dyDescent="0.4">
      <c r="G1" s="34" t="str">
        <f>Home!C1&amp;" ("&amp;IF(Home!D8="Yes","Domestic ","")&amp;Home!$D$7&amp;")"</f>
        <v>Supplier Information Form (SIF) Version 2.0 Effective 4-15-2020 ()</v>
      </c>
    </row>
    <row r="2" spans="2:10" ht="63" customHeight="1" thickTop="1" thickBot="1" x14ac:dyDescent="0.4">
      <c r="B2" s="5" t="str">
        <f>IF(AND(Home!$D$7="Study Participant",Home!$D$8&lt;&gt;"No"),"Conditional Formatting","")</f>
        <v/>
      </c>
      <c r="C2" s="5" t="s">
        <v>28</v>
      </c>
      <c r="D2" s="5" t="s">
        <v>84</v>
      </c>
      <c r="E2" s="5" t="s">
        <v>20</v>
      </c>
      <c r="F2" s="5" t="s">
        <v>21</v>
      </c>
      <c r="G2" s="50" t="str">
        <f>IF(AND(COUNTIF($B$3:$B$99,"R")&gt;0,COUNTIF($B$3:$B$99,"C")&gt;0),"There are "&amp;COUNTIF($B$3:$B$99,"R")&amp;" required fields remaining highlighted in yellow with mini-dots."&amp;CHAR(10)&amp;"There are "&amp;COUNTIF($B$3:$B$99,"C")&amp;" fields that need correction highlighted in red.",IF(AND(COUNTIF($B$3:$B$99,"R")&gt;0,COUNTIF($B$3:$B$99,"C")=0),"There are "&amp;COUNTIF($B$3:$B$99,"R")&amp;" required fields remaining highlighted in yellow with mini-dots.",IF(AND(COUNTIF($B$3:$B$99,"R")=0,COUNTIF($B$3:$B$99,"C")&gt;0),"There are "&amp;COUNTIF($B$3:$B$99,"C")&amp;" fields that need correction highlighted in red.","Completed! Please submit this excel file to the Emory personnel that provided you this form.")))</f>
        <v>Completed! Please submit this excel file to the Emory personnel that provided you this form.</v>
      </c>
      <c r="H2" s="51"/>
      <c r="J2" s="11" t="str">
        <f>HYPERLINK(CONCATENATE("#Home!D8"),"Click Here to Go Back")</f>
        <v>Click Here to Go Back</v>
      </c>
    </row>
    <row r="3" spans="2:10" ht="23.25" hidden="1" customHeight="1" thickTop="1" x14ac:dyDescent="0.35">
      <c r="B3" s="5" t="str">
        <f>IF(OR(Home!$D$7="",Home!$D$8="No"),"",IF(ISBLANK(HLOOKUP(Home!$D$7,$D$2:$F$99,ROW(A2),FALSE)),"",IF(H3="",HLOOKUP(Home!$D$7,$D$2:$F$99,ROW(A2),FALSE),IF(C3=FALSE,"C"))))</f>
        <v/>
      </c>
      <c r="C3" s="5" t="b">
        <v>1</v>
      </c>
      <c r="D3" s="15"/>
      <c r="E3" s="15"/>
      <c r="F3" s="15"/>
      <c r="G3" s="46" t="s">
        <v>19</v>
      </c>
      <c r="H3" s="49"/>
    </row>
    <row r="4" spans="2:10" ht="29.5" hidden="1" thickTop="1" x14ac:dyDescent="0.35">
      <c r="B4" s="5" t="str">
        <f>IF(OR(Home!$D$7="",Home!$D$8="No"),"",IF(ISBLANK(HLOOKUP(Home!$D$7,$D$2:$F$99,ROW(A3),FALSE)),"",IF(H4="",HLOOKUP(Home!$D$7,$D$2:$F$99,ROW(A3),FALSE),IF(C4=FALSE,"C"))))</f>
        <v/>
      </c>
      <c r="C4" s="5" t="b">
        <v>1</v>
      </c>
      <c r="D4" s="15"/>
      <c r="E4" s="15"/>
      <c r="F4" s="15"/>
      <c r="G4" s="9" t="str">
        <f>IF(Home!$D$7="Company","Is your company",IF(Home!$D$7="Individual","Are you",""))&amp;" filling out this form to update current information on file with Emory? If not sure, select 'No' from drop down box."</f>
        <v xml:space="preserve"> filling out this form to update current information on file with Emory? If not sure, select 'No' from drop down box.</v>
      </c>
      <c r="H4" s="25"/>
    </row>
    <row r="5" spans="2:10" ht="31.5" hidden="1" customHeight="1" x14ac:dyDescent="0.35">
      <c r="B5" s="5" t="str">
        <f>IF(OR(Home!$D$7="",Home!$D$8="No"),"",IF(ISBLANK(HLOOKUP(Home!$D$7,$D$2:$F$99,ROW(A4),FALSE)),"",IF(H5="",HLOOKUP(Home!$D$7,$D$2:$F$99,ROW(A4),FALSE),IF(C5=FALSE,"C"))))</f>
        <v/>
      </c>
      <c r="C5" s="5" t="b">
        <v>1</v>
      </c>
      <c r="D5" s="15"/>
      <c r="E5" s="15"/>
      <c r="F5" s="15"/>
      <c r="G5" s="9" t="str">
        <f>IF(H4="Yes",IF(Home!$D$7="Company","Does your company",IF(Home!$D$7="Individual","Do you",""))&amp;" only need to update the ACH/Banking information on file with Emory?","")</f>
        <v/>
      </c>
      <c r="H5" s="25"/>
    </row>
    <row r="6" spans="2:10" ht="29.5" hidden="1" thickTop="1" x14ac:dyDescent="0.35">
      <c r="B6" s="5" t="str">
        <f>IF(OR(Home!$D$7="",Home!$D$8="No"),"",IF(ISBLANK(HLOOKUP(Home!$D$7,$D$2:$F$99,ROW(A5),FALSE)),"",IF(H6="",HLOOKUP(Home!$D$7,$D$2:$F$99,ROW(A5),FALSE),IF(C6=FALSE,"C"))))</f>
        <v/>
      </c>
      <c r="C6" s="5" t="b">
        <v>1</v>
      </c>
      <c r="D6" s="15"/>
      <c r="E6" s="15"/>
      <c r="F6" s="15"/>
      <c r="G6" s="9" t="s">
        <v>1058</v>
      </c>
      <c r="H6" s="25"/>
    </row>
    <row r="7" spans="2:10" ht="47.25" hidden="1" customHeight="1" x14ac:dyDescent="0.35">
      <c r="B7" s="5" t="str">
        <f>IF(OR(Home!$D$7="",Home!$D$8="No"),"",IF(ISBLANK(HLOOKUP(Home!$D$7,$D$2:$F$99,ROW(A6),FALSE)),"",IF(H7="",HLOOKUP(Home!$D$7,$D$2:$F$99,ROW(A6),FALSE),IF(C7=FALSE,"C"))))</f>
        <v/>
      </c>
      <c r="C7" s="5" t="b">
        <v>1</v>
      </c>
      <c r="D7" s="15"/>
      <c r="E7" s="15"/>
      <c r="F7" s="15"/>
      <c r="G7" s="9" t="str">
        <f>IF(H6="Yes","Please provide a brief description of the merger, acquisition, or spinoff:","")</f>
        <v/>
      </c>
      <c r="H7" s="25"/>
    </row>
    <row r="8" spans="2:10" ht="15" customHeight="1" thickTop="1" x14ac:dyDescent="0.35">
      <c r="B8" s="5" t="str">
        <f>IF(OR(Home!$D$7="",Home!$D$8="No"),"",IF(ISBLANK(HLOOKUP(Home!$D$7,$D$2:$F$99,ROW(A7),FALSE)),"",IF(H8="",HLOOKUP(Home!$D$7,$D$2:$F$99,ROW(A7),FALSE),IF(C8=FALSE,"C"))))</f>
        <v/>
      </c>
      <c r="C8" s="5" t="b">
        <v>1</v>
      </c>
      <c r="D8" s="15"/>
      <c r="E8" s="15"/>
      <c r="F8" s="15" t="s">
        <v>22</v>
      </c>
      <c r="G8" s="46"/>
      <c r="H8" s="49"/>
    </row>
    <row r="9" spans="2:10" ht="30.75" customHeight="1" x14ac:dyDescent="0.35">
      <c r="B9" s="5" t="str">
        <f>IF(OR(Home!$D$7="",Home!$D$8="No"),"",IF(ISBLANK(HLOOKUP(Home!$D$7,$D$2:$F$99,ROW(A8),FALSE)),"",IF(H9="",HLOOKUP(Home!$D$7,$D$2:$F$99,ROW(A8),FALSE),IF(C9=FALSE,"C"))))</f>
        <v/>
      </c>
      <c r="C9" s="5" t="b">
        <v>1</v>
      </c>
      <c r="D9" s="15"/>
      <c r="E9" s="15"/>
      <c r="F9" s="15" t="s">
        <v>22</v>
      </c>
      <c r="G9" s="52" t="str">
        <f>Home!D7&amp;" Name and Information"</f>
        <v xml:space="preserve"> Name and Information</v>
      </c>
      <c r="H9" s="53"/>
    </row>
    <row r="10" spans="2:10" x14ac:dyDescent="0.35">
      <c r="B10" s="5" t="str">
        <f>IF(OR(Home!$D$7="",Home!$D$8="No"),"",IF(ISBLANK(HLOOKUP(Home!$D$7,$D$2:$F$99,ROW(A9),FALSE)),"",IF(H10="",HLOOKUP(Home!$D$7,$D$2:$F$99,ROW(A9),FALSE),IF(C10=FALSE,"C"))))</f>
        <v/>
      </c>
      <c r="C10" s="5" t="b">
        <v>1</v>
      </c>
      <c r="D10" s="15"/>
      <c r="E10" s="15"/>
      <c r="F10" s="15" t="s">
        <v>14</v>
      </c>
      <c r="G10" s="9" t="s">
        <v>23</v>
      </c>
      <c r="H10" s="25"/>
    </row>
    <row r="11" spans="2:10" hidden="1" x14ac:dyDescent="0.35">
      <c r="B11" s="5" t="str">
        <f>IF(OR(Home!$D$7="",Home!$D$8="No"),"",IF(ISBLANK(HLOOKUP(Home!$D$7,$D$2:$F$99,ROW(A10),FALSE)),"",IF(H11="",HLOOKUP(Home!$D$7,$D$2:$F$99,ROW(A10),FALSE),IF(C11=FALSE,"C"))))</f>
        <v/>
      </c>
      <c r="C11" s="5" t="b">
        <v>1</v>
      </c>
      <c r="D11" s="15"/>
      <c r="E11" s="15"/>
      <c r="F11" s="15"/>
      <c r="G11" s="9" t="s">
        <v>2</v>
      </c>
      <c r="H11" s="25"/>
    </row>
    <row r="12" spans="2:10" hidden="1" x14ac:dyDescent="0.35">
      <c r="B12" s="5" t="str">
        <f>IF(OR(Home!$D$7="",Home!$D$8="No"),"",IF(ISBLANK(HLOOKUP(Home!$D$7,$D$2:$F$99,ROW(A11),FALSE)),"",IF(H12="",HLOOKUP(Home!$D$7,$D$2:$F$99,ROW(A11),FALSE),IF(C12=FALSE,"C"))))</f>
        <v/>
      </c>
      <c r="C12" s="5" t="b">
        <f>ISNUMBER(H12+0)</f>
        <v>1</v>
      </c>
      <c r="D12" s="15"/>
      <c r="E12" s="13"/>
      <c r="F12" s="15"/>
      <c r="G12" s="9" t="s">
        <v>15</v>
      </c>
      <c r="H12" s="25"/>
    </row>
    <row r="13" spans="2:10" x14ac:dyDescent="0.35">
      <c r="B13" s="5" t="str">
        <f>IF(OR(Home!$D$7="",Home!$D$8="No"),"",IF(ISBLANK(HLOOKUP(Home!$D$7,$D$2:$F$99,ROW(A12),FALSE)),"",IF(H13="",HLOOKUP(Home!$D$7,$D$2:$F$99,ROW(A12),FALSE),IF(C13=FALSE,"C"))))</f>
        <v/>
      </c>
      <c r="C13" s="5" t="b">
        <v>1</v>
      </c>
      <c r="D13" s="15"/>
      <c r="E13" s="15"/>
      <c r="F13" s="15" t="s">
        <v>14</v>
      </c>
      <c r="G13" s="9" t="s">
        <v>1</v>
      </c>
      <c r="H13" s="25"/>
    </row>
    <row r="14" spans="2:10" x14ac:dyDescent="0.35">
      <c r="B14" s="5" t="str">
        <f>IF(OR(Home!$D$7="",Home!$D$8="No"),"",IF(ISBLANK(HLOOKUP(Home!$D$7,$D$2:$F$99,ROW(A13),FALSE)),"",IF(H14="",HLOOKUP(Home!$D$7,$D$2:$F$99,ROW(A13),FALSE),IF(C14=FALSE,"C"))))</f>
        <v/>
      </c>
      <c r="C14" s="5" t="b">
        <f>AND(ISNUMBER(H14+0),LEFT(H14,1)="1")</f>
        <v>0</v>
      </c>
      <c r="D14" s="15"/>
      <c r="E14" s="15"/>
      <c r="F14" s="15" t="s">
        <v>14</v>
      </c>
      <c r="G14" s="9" t="s">
        <v>3</v>
      </c>
      <c r="H14" s="25"/>
    </row>
    <row r="15" spans="2:10" x14ac:dyDescent="0.35">
      <c r="B15" s="5" t="str">
        <f>IF(OR(Home!$D$7="",Home!$D$8="No"),"",IF(ISBLANK(HLOOKUP(Home!$D$7,$D$2:$F$99,ROW(A14),FALSE)),"",IF(H15="",HLOOKUP(Home!$D$7,$D$2:$F$99,ROW(A14),FALSE),IF(C15=FALSE,"C"))))</f>
        <v/>
      </c>
      <c r="C15" s="5" t="b">
        <f>IF(H15="",TRUE,ISNUMBER(FIND("@",H15,1)+FIND(".",H15,1)))</f>
        <v>1</v>
      </c>
      <c r="D15" s="15"/>
      <c r="E15" s="15"/>
      <c r="F15" s="15" t="s">
        <v>14</v>
      </c>
      <c r="G15" s="9" t="s">
        <v>4</v>
      </c>
      <c r="H15" s="26"/>
    </row>
    <row r="16" spans="2:10" hidden="1" x14ac:dyDescent="0.35">
      <c r="B16" s="5" t="str">
        <f>IF(OR(Home!$D$7="",Home!$D$8="No"),"",IF(ISBLANK(HLOOKUP(Home!$D$7,$D$2:$F$99,ROW(A15),FALSE)),"",IF(H16="",HLOOKUP(Home!$D$7,$D$2:$F$99,ROW(A15),FALSE),IF(C16=FALSE,"C"))))</f>
        <v/>
      </c>
      <c r="C16" s="5" t="b">
        <v>1</v>
      </c>
      <c r="D16" s="15"/>
      <c r="E16" s="15"/>
      <c r="F16" s="15"/>
      <c r="G16" s="9" t="s">
        <v>1056</v>
      </c>
      <c r="H16" s="25"/>
    </row>
    <row r="17" spans="2:8" x14ac:dyDescent="0.35">
      <c r="B17" s="5" t="str">
        <f>IF(OR(Home!$D$7="",Home!$D$8="No"),"",IF(ISBLANK(HLOOKUP(Home!$D$7,$D$2:$F$99,ROW(A16),FALSE)),"",IF(H17="",HLOOKUP(Home!$D$7,$D$2:$F$99,ROW(A16),FALSE),IF(C17=FALSE,"C"))))</f>
        <v/>
      </c>
      <c r="C17" s="5" t="b">
        <f>ISNUMBER(H17+0)</f>
        <v>1</v>
      </c>
      <c r="D17" s="15"/>
      <c r="E17" s="15"/>
      <c r="F17" s="15" t="s">
        <v>14</v>
      </c>
      <c r="G17" s="9" t="str">
        <f>IF(OR(Home!$D$7="Study Participant",Home!$D$7="Individual"),"Social Security Number (SSN) (9 Digits):",IF(H16="","",$H$16&amp;" (9 Digits) :"))</f>
        <v/>
      </c>
      <c r="H17" s="25"/>
    </row>
    <row r="18" spans="2:8" hidden="1" x14ac:dyDescent="0.35">
      <c r="B18" s="5" t="str">
        <f>IF(OR(Home!$D$7="",Home!$D$8="No"),"",IF(ISBLANK(HLOOKUP(Home!$D$7,$D$2:$F$99,ROW(A17),FALSE)),"",IF(H18="",HLOOKUP(Home!$D$7,$D$2:$F$99,ROW(A17),FALSE),IF(C18=FALSE,"C"))))</f>
        <v/>
      </c>
      <c r="C18" s="5" t="b">
        <v>1</v>
      </c>
      <c r="D18" s="15"/>
      <c r="E18" s="15"/>
      <c r="F18" s="15"/>
      <c r="G18" s="9" t="s">
        <v>1057</v>
      </c>
      <c r="H18" s="25"/>
    </row>
    <row r="19" spans="2:8" hidden="1" x14ac:dyDescent="0.35">
      <c r="B19" s="5" t="str">
        <f>IF(OR(Home!$D$7="",Home!$D$8="No"),"",IF(ISBLANK(HLOOKUP(Home!$D$7,$D$2:$F$99,ROW(A18),FALSE)),"",IF(H19="",HLOOKUP(Home!$D$7,$D$2:$F$99,ROW(A18),FALSE),IF(C19=FALSE,"C"))))</f>
        <v/>
      </c>
      <c r="C19" s="5" t="b">
        <v>1</v>
      </c>
      <c r="D19" s="15"/>
      <c r="E19" s="15"/>
      <c r="F19" s="15"/>
      <c r="G19" s="9" t="str">
        <f>IF(H18="Limited Liability Company (LLC)","If LLC, Select Tax Classification:","")</f>
        <v/>
      </c>
      <c r="H19" s="25"/>
    </row>
    <row r="20" spans="2:8" hidden="1" x14ac:dyDescent="0.35">
      <c r="B20" s="5" t="str">
        <f>IF(OR(Home!$D$7="",Home!$D$8="No"),"",IF(ISBLANK(HLOOKUP(Home!$D$7,$D$2:$F$99,ROW(A19),FALSE)),"",IF(H20="",HLOOKUP(Home!$D$7,$D$2:$F$99,ROW(A19),FALSE),IF(C20=FALSE,"C"))))</f>
        <v/>
      </c>
      <c r="C20" s="5" t="b">
        <v>1</v>
      </c>
      <c r="D20" s="15"/>
      <c r="E20" s="15"/>
      <c r="F20" s="15"/>
      <c r="G20" s="9" t="s">
        <v>1059</v>
      </c>
      <c r="H20" s="25"/>
    </row>
    <row r="21" spans="2:8" hidden="1" x14ac:dyDescent="0.35">
      <c r="B21" s="5" t="str">
        <f>IF(OR(Home!$D$7="",Home!$D$8="No"),"",IF(ISBLANK(HLOOKUP(Home!$D$7,$D$2:$F$99,ROW(A20),FALSE)),"",IF(H21="",HLOOKUP(Home!$D$7,$D$2:$F$99,ROW(A20),FALSE),IF(C21=FALSE,"C"))))</f>
        <v/>
      </c>
      <c r="C21" s="5" t="b">
        <v>1</v>
      </c>
      <c r="D21" s="15"/>
      <c r="E21" s="15"/>
      <c r="F21" s="15"/>
      <c r="G21" s="9" t="str">
        <f>IF(OR($H$20="Yes - Small and Diverse",$H$20="Yes - Diverse Only"),"Indicate if Disadvantaged Business (DBE):","")</f>
        <v/>
      </c>
      <c r="H21" s="25"/>
    </row>
    <row r="22" spans="2:8" hidden="1" x14ac:dyDescent="0.35">
      <c r="B22" s="5" t="str">
        <f>IF(OR(Home!$D$7="",Home!$D$8="No"),"",IF(ISBLANK(HLOOKUP(Home!$D$7,$D$2:$F$99,ROW(A21),FALSE)),"",IF(H22="",HLOOKUP(Home!$D$7,$D$2:$F$99,ROW(A21),FALSE),IF(C22=FALSE,"C"))))</f>
        <v/>
      </c>
      <c r="C22" s="5" t="b">
        <v>1</v>
      </c>
      <c r="D22" s="15"/>
      <c r="E22" s="15"/>
      <c r="F22" s="15"/>
      <c r="G22" s="9" t="str">
        <f>IF(OR($H$20="Yes - Small and Diverse",$H$20="Yes - Diverse Only"),"Indicate if Woman-Owned Business (WBE):","")</f>
        <v/>
      </c>
      <c r="H22" s="25"/>
    </row>
    <row r="23" spans="2:8" hidden="1" x14ac:dyDescent="0.35">
      <c r="B23" s="5" t="str">
        <f>IF(OR(Home!$D$7="",Home!$D$8="No"),"",IF(ISBLANK(HLOOKUP(Home!$D$7,$D$2:$F$99,ROW(A22),FALSE)),"",IF(H23="",HLOOKUP(Home!$D$7,$D$2:$F$99,ROW(A22),FALSE),IF(C23=FALSE,"C"))))</f>
        <v/>
      </c>
      <c r="C23" s="5" t="b">
        <v>1</v>
      </c>
      <c r="D23" s="15"/>
      <c r="E23" s="15"/>
      <c r="F23" s="15"/>
      <c r="G23" s="9" t="str">
        <f>IF(OR($H$20="Yes - Small and Diverse",$H$20="Yes - Diverse Only"),"Indicate if Minority Owned Business (MBE):","")</f>
        <v/>
      </c>
      <c r="H23" s="25"/>
    </row>
    <row r="24" spans="2:8" hidden="1" x14ac:dyDescent="0.35">
      <c r="B24" s="5" t="str">
        <f>IF(OR(Home!$D$7="",Home!$D$8="No"),"",IF(ISBLANK(HLOOKUP(Home!$D$7,$D$2:$F$99,ROW(A23),FALSE)),"",IF(H24="",HLOOKUP(Home!$D$7,$D$2:$F$99,ROW(A23),FALSE),IF(C24=FALSE,"C"))))</f>
        <v/>
      </c>
      <c r="C24" s="5" t="b">
        <v>1</v>
      </c>
      <c r="D24" s="15"/>
      <c r="E24" s="15"/>
      <c r="F24" s="15"/>
      <c r="G24" s="9" t="str">
        <f>IF(OR($H$20="Yes - Small and Diverse",$H$20="Yes - Diverse Only"),"Indicate if Veteran Owned Business (VBE):","")</f>
        <v/>
      </c>
      <c r="H24" s="25"/>
    </row>
    <row r="25" spans="2:8" ht="32.25" hidden="1" customHeight="1" x14ac:dyDescent="0.35">
      <c r="B25" s="5" t="str">
        <f>IF(OR(Home!$D$7="",Home!$D$8="No"),"",IF(ISBLANK(HLOOKUP(Home!$D$7,$D$2:$F$99,ROW(A24),FALSE)),"",IF(H25="",HLOOKUP(Home!$D$7,$D$2:$F$99,ROW(A24),FALSE),IF(C25=FALSE,"C"))))</f>
        <v/>
      </c>
      <c r="C25" s="5" t="b">
        <v>1</v>
      </c>
      <c r="D25" s="15"/>
      <c r="E25" s="15"/>
      <c r="F25" s="15"/>
      <c r="G25" s="9" t="str">
        <f>IF(OR($H$20="Yes - Small and Diverse",$H$20="Yes - Diverse Only"),"Indicate if Historically Black Colleges / Universities &amp; Minority Institutions:","")</f>
        <v/>
      </c>
      <c r="H25" s="25"/>
    </row>
    <row r="26" spans="2:8" hidden="1" x14ac:dyDescent="0.35">
      <c r="B26" s="5" t="str">
        <f>IF(OR(Home!$D$7="",Home!$D$8="No"),"",IF(ISBLANK(HLOOKUP(Home!$D$7,$D$2:$F$99,ROW(A25),FALSE)),"",IF(H26="",HLOOKUP(Home!$D$7,$D$2:$F$99,ROW(A25),FALSE),IF(C26=FALSE,"C"))))</f>
        <v/>
      </c>
      <c r="C26" s="5" t="b">
        <v>1</v>
      </c>
      <c r="D26" s="15"/>
      <c r="E26" s="15"/>
      <c r="F26" s="15"/>
      <c r="G26" s="9" t="str">
        <f>IF(OR($H$20="Yes - Small and Diverse"),"Indicate if HUBZone Small Business (HUB Zone):","")</f>
        <v/>
      </c>
      <c r="H26" s="25"/>
    </row>
    <row r="27" spans="2:8" ht="33.75" hidden="1" customHeight="1" x14ac:dyDescent="0.35">
      <c r="B27" s="5" t="str">
        <f>IF(OR(Home!$D$7="",Home!$D$8="No"),"",IF(ISBLANK(HLOOKUP(Home!$D$7,$D$2:$F$99,ROW(A26),FALSE)),"",IF(H27="",HLOOKUP(Home!$D$7,$D$2:$F$99,ROW(A26),FALSE),IF(C27=FALSE,"C"))))</f>
        <v/>
      </c>
      <c r="C27" s="5" t="b">
        <v>1</v>
      </c>
      <c r="D27" s="15"/>
      <c r="E27" s="15"/>
      <c r="F27" s="15"/>
      <c r="G27" s="9" t="str">
        <f>IF(OR($H$20="Yes - Small and Diverse"),"Indicate if Service Disabled Veteran-Owned Small Business (SDVOSB):","")</f>
        <v/>
      </c>
      <c r="H27" s="25"/>
    </row>
    <row r="28" spans="2:8" ht="33.75" hidden="1" customHeight="1" x14ac:dyDescent="0.35">
      <c r="B28" s="5" t="str">
        <f>IF(OR(Home!$D$7="",Home!$D$8="No"),"",IF(ISBLANK(HLOOKUP(Home!$D$7,$D$2:$F$99,ROW(A27),FALSE)),"",IF(H28="",HLOOKUP(Home!$D$7,$D$2:$F$99,ROW(A27),FALSE),IF(C28=FALSE,"C"))))</f>
        <v/>
      </c>
      <c r="C28" s="5" t="b">
        <v>1</v>
      </c>
      <c r="D28" s="15"/>
      <c r="E28" s="15"/>
      <c r="F28" s="15"/>
      <c r="G28" s="9" t="str">
        <f>IF(OR($H$20="Yes - Small and Diverse"),"Indicate if Alaskan Native Corporations (ANCs) &amp; Indian Tribes):","")</f>
        <v/>
      </c>
      <c r="H28" s="25"/>
    </row>
    <row r="29" spans="2:8" ht="23.25" customHeight="1" x14ac:dyDescent="0.35">
      <c r="B29" s="5" t="str">
        <f>IF(OR(Home!$D$7="",Home!$D$8="No"),"",IF(ISBLANK(HLOOKUP(Home!$D$7,$D$2:$F$99,ROW(A28),FALSE)),"",IF(H29="",HLOOKUP(Home!$D$7,$D$2:$F$99,ROW(A28),FALSE),IF(C29=FALSE,"C"))))</f>
        <v/>
      </c>
      <c r="C29" s="5" t="b">
        <v>1</v>
      </c>
      <c r="D29" s="15"/>
      <c r="E29" s="15"/>
      <c r="F29" s="15" t="s">
        <v>22</v>
      </c>
      <c r="G29" s="46" t="s">
        <v>5</v>
      </c>
      <c r="H29" s="49"/>
    </row>
    <row r="30" spans="2:8" x14ac:dyDescent="0.35">
      <c r="B30" s="5" t="str">
        <f>IF(OR(Home!$D$7="",Home!$D$8="No"),"",IF(ISBLANK(HLOOKUP(Home!$D$7,$D$2:$F$99,ROW(A29),FALSE)),"",IF(H30="",HLOOKUP(Home!$D$7,$D$2:$F$99,ROW(A29),FALSE),IF(C30=FALSE,"C"))))</f>
        <v/>
      </c>
      <c r="C30" s="5" t="b">
        <v>1</v>
      </c>
      <c r="D30" s="15"/>
      <c r="E30" s="15"/>
      <c r="F30" s="15" t="s">
        <v>14</v>
      </c>
      <c r="G30" s="9" t="s">
        <v>16</v>
      </c>
      <c r="H30" s="25"/>
    </row>
    <row r="31" spans="2:8" x14ac:dyDescent="0.35">
      <c r="B31" s="5" t="str">
        <f>IF(OR(Home!$D$7="",Home!$D$8="No"),"",IF(ISBLANK(HLOOKUP(Home!$D$7,$D$2:$F$99,ROW(A30),FALSE)),"",IF(H31="",HLOOKUP(Home!$D$7,$D$2:$F$99,ROW(A30),FALSE),IF(C31=FALSE,"C"))))</f>
        <v/>
      </c>
      <c r="C31" s="5" t="b">
        <v>1</v>
      </c>
      <c r="D31" s="15"/>
      <c r="E31" s="15"/>
      <c r="F31" s="15" t="s">
        <v>22</v>
      </c>
      <c r="G31" s="9" t="s">
        <v>17</v>
      </c>
      <c r="H31" s="25"/>
    </row>
    <row r="32" spans="2:8" x14ac:dyDescent="0.35">
      <c r="B32" s="5" t="str">
        <f>IF(OR(Home!$D$7="",Home!$D$8="No"),"",IF(ISBLANK(HLOOKUP(Home!$D$7,$D$2:$F$99,ROW(A31),FALSE)),"",IF(H32="",HLOOKUP(Home!$D$7,$D$2:$F$99,ROW(A31),FALSE),IF(C32=FALSE,"C"))))</f>
        <v/>
      </c>
      <c r="C32" s="5" t="b">
        <v>1</v>
      </c>
      <c r="D32" s="15"/>
      <c r="E32" s="15"/>
      <c r="F32" s="15" t="s">
        <v>14</v>
      </c>
      <c r="G32" s="9" t="s">
        <v>6</v>
      </c>
      <c r="H32" s="25"/>
    </row>
    <row r="33" spans="2:8" x14ac:dyDescent="0.35">
      <c r="B33" s="5" t="str">
        <f>IF(OR(Home!$D$7="",Home!$D$8="No"),"",IF(ISBLANK(HLOOKUP(Home!$D$7,$D$2:$F$99,ROW(A32),FALSE)),"",IF(H33="",HLOOKUP(Home!$D$7,$D$2:$F$99,ROW(A32),FALSE),IF(C33=FALSE,"C"))))</f>
        <v/>
      </c>
      <c r="C33" s="5" t="b">
        <v>1</v>
      </c>
      <c r="D33" s="15"/>
      <c r="E33" s="15"/>
      <c r="F33" s="15" t="s">
        <v>14</v>
      </c>
      <c r="G33" s="9" t="s">
        <v>7</v>
      </c>
      <c r="H33" s="25"/>
    </row>
    <row r="34" spans="2:8" x14ac:dyDescent="0.35">
      <c r="B34" s="5" t="str">
        <f>IF(OR(Home!$D$7="",Home!$D$8="No"),"",IF(ISBLANK(HLOOKUP(Home!$D$7,$D$2:$F$99,ROW(A33),FALSE)),"",IF(H34="",HLOOKUP(Home!$D$7,$D$2:$F$99,ROW(A33),FALSE),IF(C34=FALSE,"C"))))</f>
        <v/>
      </c>
      <c r="C34" s="5" t="b">
        <v>1</v>
      </c>
      <c r="D34" s="15"/>
      <c r="E34" s="15"/>
      <c r="F34" s="15" t="s">
        <v>14</v>
      </c>
      <c r="G34" s="9" t="s">
        <v>29</v>
      </c>
      <c r="H34" s="25"/>
    </row>
    <row r="35" spans="2:8" hidden="1" x14ac:dyDescent="0.35">
      <c r="B35" s="5" t="str">
        <f>IF(OR(Home!$D$7="",Home!$D$8="No"),"",IF(ISBLANK(HLOOKUP(Home!$D$7,$D$2:$F$99,ROW(A34),FALSE)),"",IF(H35="",HLOOKUP(Home!$D$7,$D$2:$F$99,ROW(A34),FALSE),IF(C35=FALSE,"C"))))</f>
        <v/>
      </c>
      <c r="C35" s="5" t="b">
        <f>AND(ISNUMBER(H35+0),LEFT(H35,1)="1")</f>
        <v>0</v>
      </c>
      <c r="D35" s="15"/>
      <c r="E35" s="13"/>
      <c r="F35" s="15"/>
      <c r="G35" s="9" t="s">
        <v>10</v>
      </c>
      <c r="H35" s="25"/>
    </row>
    <row r="36" spans="2:8" hidden="1" x14ac:dyDescent="0.35">
      <c r="B36" s="5" t="str">
        <f>IF(OR(Home!$D$7="",Home!$D$8="No"),"",IF(ISBLANK(HLOOKUP(Home!$D$7,$D$2:$F$99,ROW(A35),FALSE)),"",IF(H36="",HLOOKUP(Home!$D$7,$D$2:$F$99,ROW(A35),FALSE),IF(C36=FALSE,"C"))))</f>
        <v/>
      </c>
      <c r="C36" s="5" t="b">
        <f>IF(H36="",TRUE,ISNUMBER(FIND("@",H36,1)+FIND(".",H36,1)))</f>
        <v>1</v>
      </c>
      <c r="D36" s="15"/>
      <c r="E36" s="13"/>
      <c r="F36" s="15"/>
      <c r="G36" s="9" t="s">
        <v>9</v>
      </c>
      <c r="H36" s="25"/>
    </row>
    <row r="37" spans="2:8" ht="23.25" hidden="1" customHeight="1" x14ac:dyDescent="0.35">
      <c r="B37" s="5" t="str">
        <f>IF(OR(Home!$D$7="",Home!$D$8="No"),"",IF(ISBLANK(HLOOKUP(Home!$D$7,$D$2:$F$99,ROW(A36),FALSE)),"",IF(H37="",HLOOKUP(Home!$D$7,$D$2:$F$99,ROW(A36),FALSE),IF(C37=FALSE,"C"))))</f>
        <v/>
      </c>
      <c r="C37" s="5" t="b">
        <v>1</v>
      </c>
      <c r="D37" s="15"/>
      <c r="E37" s="13"/>
      <c r="F37" s="15"/>
      <c r="G37" s="46" t="s">
        <v>81</v>
      </c>
      <c r="H37" s="49"/>
    </row>
    <row r="38" spans="2:8" hidden="1" x14ac:dyDescent="0.35">
      <c r="B38" s="5" t="str">
        <f>IF(OR(Home!$D$7="",Home!$D$8="No"),"",IF(ISBLANK(HLOOKUP(Home!$D$7,$D$2:$F$99,ROW(A37),FALSE)),"",IF(H38="",HLOOKUP(Home!$D$7,$D$2:$F$99,ROW(A37),FALSE),IF(C38=FALSE,"C"))))</f>
        <v/>
      </c>
      <c r="C38" s="5" t="b">
        <v>1</v>
      </c>
      <c r="D38" s="15"/>
      <c r="E38" s="13"/>
      <c r="F38" s="15"/>
      <c r="G38" s="9" t="s">
        <v>11</v>
      </c>
      <c r="H38" s="25"/>
    </row>
    <row r="39" spans="2:8" hidden="1" x14ac:dyDescent="0.35">
      <c r="B39" s="5" t="str">
        <f>IF(OR(Home!$D$7="",Home!$D$8="No"),"",IF(ISBLANK(HLOOKUP(Home!$D$7,$D$2:$F$99,ROW(A38),FALSE)),"",IF(H39="",HLOOKUP(Home!$D$7,$D$2:$F$99,ROW(A38),FALSE),IF(C39=FALSE,"C"))))</f>
        <v/>
      </c>
      <c r="C39" s="5" t="b">
        <f>IF(H39="",TRUE,ISNUMBER(FIND("@",H39,1)+FIND(".",H39,1)))</f>
        <v>1</v>
      </c>
      <c r="D39" s="15"/>
      <c r="E39" s="13"/>
      <c r="F39" s="15"/>
      <c r="G39" s="9" t="str">
        <f>IF(LEFT($H$38,5)="Email","Email for Receiving Orders:","")</f>
        <v/>
      </c>
      <c r="H39" s="25"/>
    </row>
    <row r="40" spans="2:8" hidden="1" x14ac:dyDescent="0.35">
      <c r="B40" s="5" t="str">
        <f>IF(OR(Home!$D$7="",Home!$D$8="No"),"",IF(ISBLANK(HLOOKUP(Home!$D$7,$D$2:$F$99,ROW(A39),FALSE)),"",IF(H40="",HLOOKUP(Home!$D$7,$D$2:$F$99,ROW(A39),FALSE),IF(C40=FALSE,"C"))))</f>
        <v/>
      </c>
      <c r="C40" s="5" t="b">
        <f>ISNUMBER(H40+0)</f>
        <v>1</v>
      </c>
      <c r="D40" s="15"/>
      <c r="E40" s="13"/>
      <c r="F40" s="15"/>
      <c r="G40" s="9" t="str">
        <f>IF($H$38="Fax","Fax Number for Receiving Orders:","")</f>
        <v/>
      </c>
      <c r="H40" s="25"/>
    </row>
    <row r="41" spans="2:8" ht="29" hidden="1" x14ac:dyDescent="0.35">
      <c r="B41" s="5" t="str">
        <f>IF(OR(Home!$D$7="",Home!$D$8="No"),"",IF(ISBLANK(HLOOKUP(Home!$D$7,$D$2:$F$99,ROW(A40),FALSE)),"",IF(H41="",HLOOKUP(Home!$D$7,$D$2:$F$99,ROW(A40),FALSE),IF(C41=FALSE,"C"))))</f>
        <v/>
      </c>
      <c r="C41" s="5" t="b">
        <v>1</v>
      </c>
      <c r="D41" s="15"/>
      <c r="E41" s="15"/>
      <c r="F41" s="15"/>
      <c r="G41" s="9" t="s">
        <v>1050</v>
      </c>
      <c r="H41" s="25"/>
    </row>
    <row r="42" spans="2:8" hidden="1" x14ac:dyDescent="0.35">
      <c r="B42" s="5" t="str">
        <f>IF(OR(Home!$D$7="",Home!$D$8="No"),"",IF(ISBLANK(HLOOKUP(Home!$D$7,$D$2:$F$99,ROW(A41),FALSE)),"",IF(H42="",HLOOKUP(Home!$D$7,$D$2:$F$99,ROW(A41),FALSE),IF(C42=FALSE,"C"))))</f>
        <v/>
      </c>
      <c r="C42" s="5" t="b">
        <v>1</v>
      </c>
      <c r="D42" s="15"/>
      <c r="E42" s="13"/>
      <c r="F42" s="15"/>
      <c r="G42" s="9" t="str">
        <f>IF($H$41="No","Address Line 1:","")</f>
        <v/>
      </c>
      <c r="H42" s="25"/>
    </row>
    <row r="43" spans="2:8" hidden="1" x14ac:dyDescent="0.35">
      <c r="B43" s="5" t="str">
        <f>IF(OR(Home!$D$7="",Home!$D$8="No"),"",IF(ISBLANK(HLOOKUP(Home!$D$7,$D$2:$F$99,ROW(A42),FALSE)),"",IF(H43="",HLOOKUP(Home!$D$7,$D$2:$F$99,ROW(A42),FALSE),IF(C43=FALSE,"C"))))</f>
        <v/>
      </c>
      <c r="C43" s="5" t="b">
        <v>1</v>
      </c>
      <c r="D43" s="15"/>
      <c r="E43" s="13"/>
      <c r="F43" s="15"/>
      <c r="G43" s="9" t="str">
        <f>IF($H$41="No","Address Line 2:","")</f>
        <v/>
      </c>
      <c r="H43" s="25"/>
    </row>
    <row r="44" spans="2:8" hidden="1" x14ac:dyDescent="0.35">
      <c r="B44" s="5" t="str">
        <f>IF(OR(Home!$D$7="",Home!$D$8="No"),"",IF(ISBLANK(HLOOKUP(Home!$D$7,$D$2:$F$99,ROW(A43),FALSE)),"",IF(H44="",HLOOKUP(Home!$D$7,$D$2:$F$99,ROW(A43),FALSE),IF(C44=FALSE,"C"))))</f>
        <v/>
      </c>
      <c r="C44" s="5" t="b">
        <v>1</v>
      </c>
      <c r="D44" s="15"/>
      <c r="E44" s="13"/>
      <c r="F44" s="15"/>
      <c r="G44" s="9" t="str">
        <f>IF($H$41="No","City:","")</f>
        <v/>
      </c>
      <c r="H44" s="25"/>
    </row>
    <row r="45" spans="2:8" hidden="1" x14ac:dyDescent="0.35">
      <c r="B45" s="5" t="str">
        <f>IF(OR(Home!$D$7="",Home!$D$8="No"),"",IF(ISBLANK(HLOOKUP(Home!$D$7,$D$2:$F$99,ROW(A44),FALSE)),"",IF(H45="",HLOOKUP(Home!$D$7,$D$2:$F$99,ROW(A44),FALSE),IF(C45=FALSE,"C"))))</f>
        <v/>
      </c>
      <c r="C45" s="5" t="b">
        <v>1</v>
      </c>
      <c r="D45" s="15"/>
      <c r="E45" s="13"/>
      <c r="F45" s="15"/>
      <c r="G45" s="9" t="str">
        <f>IF($H$41="No","State:","")</f>
        <v/>
      </c>
      <c r="H45" s="25"/>
    </row>
    <row r="46" spans="2:8" hidden="1" x14ac:dyDescent="0.35">
      <c r="B46" s="5" t="str">
        <f>IF(OR(Home!$D$7="",Home!$D$8="No"),"",IF(ISBLANK(HLOOKUP(Home!$D$7,$D$2:$F$99,ROW(A45),FALSE)),"",IF(H46="",HLOOKUP(Home!$D$7,$D$2:$F$99,ROW(A45),FALSE),IF(C46=FALSE,"C"))))</f>
        <v/>
      </c>
      <c r="C46" s="5" t="b">
        <v>1</v>
      </c>
      <c r="D46" s="15"/>
      <c r="E46" s="13"/>
      <c r="F46" s="15"/>
      <c r="G46" s="9" t="str">
        <f>IF($H$41="No","ZIP Code:","")</f>
        <v/>
      </c>
      <c r="H46" s="25"/>
    </row>
    <row r="47" spans="2:8" hidden="1" x14ac:dyDescent="0.35">
      <c r="B47" s="5" t="str">
        <f>IF(OR(Home!$D$7="",Home!$D$8="No"),"",IF(ISBLANK(HLOOKUP(Home!$D$7,$D$2:$F$99,ROW(A46),FALSE)),"",IF(H47="",HLOOKUP(Home!$D$7,$D$2:$F$99,ROW(A46),FALSE),IF(C47=FALSE,"C"))))</f>
        <v/>
      </c>
      <c r="C47" s="5" t="b">
        <f>AND(ISNUMBER(H47+0),LEFT(H47,1)="1")</f>
        <v>0</v>
      </c>
      <c r="D47" s="15"/>
      <c r="E47" s="13"/>
      <c r="F47" s="15"/>
      <c r="G47" s="9" t="str">
        <f>IF($H$41="No","Phone:","")</f>
        <v/>
      </c>
      <c r="H47" s="25"/>
    </row>
    <row r="48" spans="2:8" ht="23.25" hidden="1" customHeight="1" x14ac:dyDescent="0.35">
      <c r="B48" s="5" t="str">
        <f>IF(OR(Home!$D$7="",Home!$D$8="No"),"",IF(ISBLANK(HLOOKUP(Home!$D$7,$D$2:$F$99,ROW(A47),FALSE)),"",IF(H48="",HLOOKUP(Home!$D$7,$D$2:$F$99,ROW(A47),FALSE),IF(C48=FALSE,"C"))))</f>
        <v/>
      </c>
      <c r="C48" s="5" t="b">
        <v>1</v>
      </c>
      <c r="D48" s="15"/>
      <c r="E48" s="15"/>
      <c r="F48" s="15"/>
      <c r="G48" s="46" t="s">
        <v>80</v>
      </c>
      <c r="H48" s="49"/>
    </row>
    <row r="49" spans="2:8" ht="33.75" hidden="1" customHeight="1" x14ac:dyDescent="0.35">
      <c r="B49" s="5" t="str">
        <f>IF(OR(Home!$D$7="",Home!$D$8="No"),"",IF(ISBLANK(HLOOKUP(Home!$D$7,$D$2:$F$99,ROW(A48),FALSE)),"",IF(H49="",HLOOKUP(Home!$D$7,$D$2:$F$99,ROW(A48),FALSE),IF(C49=FALSE,"C"))))</f>
        <v/>
      </c>
      <c r="C49" s="5" t="b">
        <v>1</v>
      </c>
      <c r="D49" s="15"/>
      <c r="E49" s="15"/>
      <c r="F49" s="15"/>
      <c r="G49" s="9" t="s">
        <v>1051</v>
      </c>
      <c r="H49" s="25"/>
    </row>
    <row r="50" spans="2:8" hidden="1" x14ac:dyDescent="0.35">
      <c r="B50" s="5" t="str">
        <f>IF(OR(Home!$D$7="",Home!$D$8="No"),"",IF(ISBLANK(HLOOKUP(Home!$D$7,$D$2:$F$99,ROW(A49),FALSE)),"",IF(H50="",HLOOKUP(Home!$D$7,$D$2:$F$99,ROW(A49),FALSE),IF(C50=FALSE,"C"))))</f>
        <v/>
      </c>
      <c r="C50" s="5" t="b">
        <v>1</v>
      </c>
      <c r="D50" s="15"/>
      <c r="E50" s="15"/>
      <c r="F50" s="15"/>
      <c r="G50" s="9" t="str">
        <f>IF($H$49="No","Address Line 1:","")</f>
        <v/>
      </c>
      <c r="H50" s="25"/>
    </row>
    <row r="51" spans="2:8" hidden="1" x14ac:dyDescent="0.35">
      <c r="B51" s="5" t="str">
        <f>IF(OR(Home!$D$7="",Home!$D$8="No"),"",IF(ISBLANK(HLOOKUP(Home!$D$7,$D$2:$F$99,ROW(A50),FALSE)),"",IF(H51="",HLOOKUP(Home!$D$7,$D$2:$F$99,ROW(A50),FALSE),IF(C51=FALSE,"C"))))</f>
        <v/>
      </c>
      <c r="C51" s="5" t="b">
        <v>1</v>
      </c>
      <c r="D51" s="15"/>
      <c r="E51" s="15"/>
      <c r="F51" s="15"/>
      <c r="G51" s="9" t="str">
        <f>IF($H$49="No","Address Line 2:","")</f>
        <v/>
      </c>
      <c r="H51" s="25"/>
    </row>
    <row r="52" spans="2:8" hidden="1" x14ac:dyDescent="0.35">
      <c r="B52" s="5" t="str">
        <f>IF(OR(Home!$D$7="",Home!$D$8="No"),"",IF(ISBLANK(HLOOKUP(Home!$D$7,$D$2:$F$99,ROW(A51),FALSE)),"",IF(H52="",HLOOKUP(Home!$D$7,$D$2:$F$99,ROW(A51),FALSE),IF(C52=FALSE,"C"))))</f>
        <v/>
      </c>
      <c r="C52" s="5" t="b">
        <v>1</v>
      </c>
      <c r="D52" s="15"/>
      <c r="E52" s="15"/>
      <c r="F52" s="15"/>
      <c r="G52" s="9" t="str">
        <f>IF($H$49="No","City:","")</f>
        <v/>
      </c>
      <c r="H52" s="25"/>
    </row>
    <row r="53" spans="2:8" hidden="1" x14ac:dyDescent="0.35">
      <c r="B53" s="5" t="str">
        <f>IF(OR(Home!$D$7="",Home!$D$8="No"),"",IF(ISBLANK(HLOOKUP(Home!$D$7,$D$2:$F$99,ROW(A52),FALSE)),"",IF(H53="",HLOOKUP(Home!$D$7,$D$2:$F$99,ROW(A52),FALSE),IF(C53=FALSE,"C"))))</f>
        <v/>
      </c>
      <c r="C53" s="5" t="b">
        <v>1</v>
      </c>
      <c r="D53" s="15"/>
      <c r="E53" s="15"/>
      <c r="F53" s="15"/>
      <c r="G53" s="9" t="str">
        <f>IF($H$49="No","State:","")</f>
        <v/>
      </c>
      <c r="H53" s="25"/>
    </row>
    <row r="54" spans="2:8" hidden="1" x14ac:dyDescent="0.35">
      <c r="B54" s="5" t="str">
        <f>IF(OR(Home!$D$7="",Home!$D$8="No"),"",IF(ISBLANK(HLOOKUP(Home!$D$7,$D$2:$F$99,ROW(A53),FALSE)),"",IF(H54="",HLOOKUP(Home!$D$7,$D$2:$F$99,ROW(A53),FALSE),IF(C54=FALSE,"C"))))</f>
        <v/>
      </c>
      <c r="C54" s="5" t="b">
        <v>1</v>
      </c>
      <c r="D54" s="15"/>
      <c r="E54" s="15"/>
      <c r="F54" s="15"/>
      <c r="G54" s="9" t="str">
        <f>IF($H$49="No","ZIP Code:","")</f>
        <v/>
      </c>
      <c r="H54" s="25"/>
    </row>
    <row r="55" spans="2:8" hidden="1" x14ac:dyDescent="0.35">
      <c r="B55" s="5" t="str">
        <f>IF(OR(Home!$D$7="",Home!$D$8="No"),"",IF(ISBLANK(HLOOKUP(Home!$D$7,$D$2:$F$99,ROW(A54),FALSE)),"",IF(H55="",HLOOKUP(Home!$D$7,$D$2:$F$99,ROW(A54),FALSE),IF(C55=FALSE,"C"))))</f>
        <v/>
      </c>
      <c r="C55" s="5" t="b">
        <f>AND(ISNUMBER(H55+0),LEFT(H55,1)="1")</f>
        <v>0</v>
      </c>
      <c r="D55" s="15"/>
      <c r="E55" s="15"/>
      <c r="F55" s="15"/>
      <c r="G55" s="9" t="str">
        <f>IF($H$49="No","Phone:","")</f>
        <v/>
      </c>
      <c r="H55" s="25"/>
    </row>
    <row r="56" spans="2:8" hidden="1" x14ac:dyDescent="0.35">
      <c r="B56" s="5" t="str">
        <f>IF(OR(Home!$D$7="",Home!$D$8="No"),"",IF(ISBLANK(HLOOKUP(Home!$D$7,$D$2:$F$99,ROW(A55),FALSE)),"",IF(H56="",HLOOKUP(Home!$D$7,$D$2:$F$99,ROW(A55),FALSE),IF(C56=FALSE,"C"))))</f>
        <v/>
      </c>
      <c r="C56" s="5" t="b">
        <f>IF(H56="",TRUE,ISNUMBER(FIND("@",H56,1)+FIND(".",H56,1)))</f>
        <v>1</v>
      </c>
      <c r="D56" s="15"/>
      <c r="E56" s="15"/>
      <c r="F56" s="15"/>
      <c r="G56" s="9" t="str">
        <f>IF($H$49="No","Email:","")</f>
        <v/>
      </c>
      <c r="H56" s="25"/>
    </row>
    <row r="57" spans="2:8" ht="23.25" customHeight="1" x14ac:dyDescent="0.35">
      <c r="B57" s="5" t="str">
        <f>IF(OR(Home!$D$7="",Home!$D$8="No"),"",IF(ISBLANK(HLOOKUP(Home!$D$7,$D$2:$F$99,ROW(A56),FALSE)),"",IF(H57="",HLOOKUP(Home!$D$7,$D$2:$F$99,ROW(A56),FALSE),IF(C57=FALSE,"C"))))</f>
        <v/>
      </c>
      <c r="C57" s="5" t="b">
        <v>1</v>
      </c>
      <c r="D57" s="15"/>
      <c r="E57" s="15"/>
      <c r="F57" s="15" t="s">
        <v>22</v>
      </c>
      <c r="G57" s="46" t="s">
        <v>12</v>
      </c>
      <c r="H57" s="49"/>
    </row>
    <row r="58" spans="2:8" x14ac:dyDescent="0.35">
      <c r="B58" s="5" t="str">
        <f>IF(OR(Home!$D$7="",Home!$D$8="No"),"",IF(ISBLANK(HLOOKUP(Home!$D$7,$D$2:$F$99,ROW(A57),FALSE)),"",IF(H58="",HLOOKUP(Home!$D$7,$D$2:$F$99,ROW(A57),FALSE),IF(C58=FALSE,"C"))))</f>
        <v/>
      </c>
      <c r="C58" s="5" t="b">
        <v>1</v>
      </c>
      <c r="D58" s="15"/>
      <c r="E58" s="15"/>
      <c r="F58" s="15" t="s">
        <v>22</v>
      </c>
      <c r="G58" s="47" t="s">
        <v>18</v>
      </c>
      <c r="H58" s="48"/>
    </row>
    <row r="59" spans="2:8" ht="43.5" x14ac:dyDescent="0.35">
      <c r="B59" s="5" t="str">
        <f>IF(OR(Home!$D$7="",Home!$D$8="No"),"",IF(ISBLANK(HLOOKUP(Home!$D$7,$D$2:$F$99,ROW(A58),FALSE)),"",IF(H59="",HLOOKUP(Home!$D$7,$D$2:$F$99,ROW(A58),FALSE),IF(C59=FALSE,"C"))))</f>
        <v/>
      </c>
      <c r="C59" s="5" t="b">
        <v>1</v>
      </c>
      <c r="D59" s="15"/>
      <c r="E59" s="15"/>
      <c r="F59" s="15" t="s">
        <v>14</v>
      </c>
      <c r="G59" s="9" t="s">
        <v>13</v>
      </c>
      <c r="H59" s="25"/>
    </row>
    <row r="60" spans="2:8" ht="87" x14ac:dyDescent="0.35">
      <c r="B60" s="5" t="str">
        <f>IF(OR(Home!$D$7="",Home!$D$8="No"),"",IF(ISBLANK(HLOOKUP(Home!$D$7,$D$2:$F$99,ROW(A59),FALSE)),"",IF(H60="",HLOOKUP(Home!$D$7,$D$2:$F$99,ROW(A59),FALSE),IF(C60=FALSE,"C"))))</f>
        <v/>
      </c>
      <c r="C60" s="5" t="b">
        <v>1</v>
      </c>
      <c r="D60" s="15"/>
      <c r="E60" s="15"/>
      <c r="F60" s="15" t="s">
        <v>14</v>
      </c>
      <c r="G60" s="9" t="s">
        <v>1055</v>
      </c>
      <c r="H60" s="25"/>
    </row>
    <row r="61" spans="2:8" ht="43.5" hidden="1" x14ac:dyDescent="0.35">
      <c r="B61" s="5" t="str">
        <f>IF(OR(Home!$D$7="",Home!$D$8="No"),"",IF(ISBLANK(HLOOKUP(Home!$D$7,$D$2:$F$99,ROW(A60),FALSE)),"",IF(H61="",HLOOKUP(Home!$D$7,$D$2:$F$99,ROW(A60),FALSE),IF(C61=FALSE,"C"))))</f>
        <v/>
      </c>
      <c r="C61" s="5" t="b">
        <v>1</v>
      </c>
      <c r="D61" s="15"/>
      <c r="E61" s="15"/>
      <c r="F61" s="15"/>
      <c r="G61" s="9" t="s">
        <v>1054</v>
      </c>
      <c r="H61" s="25"/>
    </row>
    <row r="62" spans="2:8" ht="87" hidden="1" x14ac:dyDescent="0.35">
      <c r="B62" s="5" t="str">
        <f>IF(OR(Home!$D$7="",Home!$D$8="No"),"",IF(ISBLANK(HLOOKUP(Home!$D$7,$D$2:$F$99,ROW(A61),FALSE)),"",IF(H62="",HLOOKUP(Home!$D$7,$D$2:$F$99,ROW(A61),FALSE),IF(C62=FALSE,"C"))))</f>
        <v/>
      </c>
      <c r="C62" s="5" t="b">
        <v>1</v>
      </c>
      <c r="D62" s="15"/>
      <c r="E62" s="15"/>
      <c r="F62" s="15"/>
      <c r="G62" s="9" t="s">
        <v>96</v>
      </c>
      <c r="H62" s="25"/>
    </row>
    <row r="63" spans="2:8" hidden="1" x14ac:dyDescent="0.35">
      <c r="B63" s="5" t="str">
        <f>IF(OR(Home!$D$7="",Home!$D$8="No"),"",IF(ISBLANK(HLOOKUP(Home!$D$7,$D$2:$F$99,ROW(A62),FALSE)),"",IF(H63="",HLOOKUP(Home!$D$7,$D$2:$F$99,ROW(A62),FALSE),IF(C63=FALSE,"C"))))</f>
        <v/>
      </c>
      <c r="C63" s="5" t="b">
        <v>1</v>
      </c>
      <c r="D63" s="15"/>
      <c r="E63" s="15"/>
      <c r="F63" s="15"/>
      <c r="G63" s="9" t="str">
        <f>IF(Home!$D$7="Company","5. Are you or any Officer, Owner or Partner in this company an employee of Emory University?",IF(Home!$D$7="Individual","5. Are you an employee of Emory University?",""))</f>
        <v/>
      </c>
      <c r="H63" s="25"/>
    </row>
    <row r="64" spans="2:8" ht="76.25" hidden="1" customHeight="1" x14ac:dyDescent="0.35">
      <c r="B64" s="5" t="str">
        <f>IF(OR(Home!$D$7="",Home!$D$8="No"),"",IF(ISBLANK(HLOOKUP(Home!$D$7,$D$2:$F$99,ROW(A63),FALSE)),"",IF(H64="",HLOOKUP(Home!$D$7,$D$2:$F$99,ROW(A63),FALSE),IF(C64=FALSE,"C"))))</f>
        <v/>
      </c>
      <c r="C64" s="5" t="b">
        <v>1</v>
      </c>
      <c r="D64" s="15"/>
      <c r="E64" s="15"/>
      <c r="F64" s="15"/>
      <c r="G64" s="35" t="str">
        <f>HYPERLINK("https://emory.ellucid.com/documents/view/17693/?security=353f1df192117ef8139f94032abe5f3cd53a8395",CONCATENATE("6. Is a direct family member of any of the above an Emory University employee (spouse, partner, etc.)?"," Any existing or proposed relationship, transaction, or other event which may raise a conflict of interest is to be disclosed. For detail, click here:"))</f>
        <v>6. Is a direct family member of any of the above an Emory University employee (spouse, partner, etc.)? Any existing or proposed relationship, transaction, or other event which may raise a conflict of interest is to be disclosed. For detail, click here:</v>
      </c>
      <c r="H64" s="25"/>
    </row>
    <row r="65" spans="2:8" ht="30.75" hidden="1" customHeight="1" x14ac:dyDescent="0.35">
      <c r="B65" s="5" t="str">
        <f>IF(OR(Home!$D$7="",Home!$D$8="No"),"",IF(ISBLANK(HLOOKUP(Home!$D$7,$D$2:$F$99,ROW(A64),FALSE)),"",IF(H65="",HLOOKUP(Home!$D$7,$D$2:$F$99,ROW(A64),FALSE),IF(C65=FALSE,"C"))))</f>
        <v/>
      </c>
      <c r="C65" s="5" t="b">
        <v>1</v>
      </c>
      <c r="D65" s="15"/>
      <c r="E65" s="15"/>
      <c r="F65" s="15"/>
      <c r="G65" s="9" t="str">
        <f>IF($H$64="Yes","6a. Please provide the name of the direct family member who is an Emory University employee:","")</f>
        <v/>
      </c>
      <c r="H65" s="25"/>
    </row>
    <row r="66" spans="2:8" ht="30.75" hidden="1" customHeight="1" x14ac:dyDescent="0.35">
      <c r="B66" s="5" t="str">
        <f>IF(OR(Home!$D$7="",Home!$D$8="No"),"",IF(ISBLANK(HLOOKUP(Home!$D$7,$D$2:$F$99,ROW(A65),FALSE)),"",IF(H66="",HLOOKUP(Home!$D$7,$D$2:$F$99,ROW(A65),FALSE),IF(C66=FALSE,"C"))))</f>
        <v/>
      </c>
      <c r="C66" s="5" t="b">
        <v>1</v>
      </c>
      <c r="D66" s="15"/>
      <c r="E66" s="15"/>
      <c r="F66" s="15"/>
      <c r="G66" s="9" t="str">
        <f>IF($H$64="Yes","6b. Please provide the relationship of the direct family member to the Emory University Employee:","")</f>
        <v/>
      </c>
      <c r="H66" s="25"/>
    </row>
    <row r="67" spans="2:8" ht="58" hidden="1" x14ac:dyDescent="0.35">
      <c r="B67" s="5" t="str">
        <f>IF(OR(Home!$D$7="",Home!$D$8="No"),"",IF(ISBLANK(HLOOKUP(Home!$D$7,$D$2:$F$99,ROW(A66),FALSE)),"",IF(H67="",HLOOKUP(Home!$D$7,$D$2:$F$99,ROW(A66),FALSE),IF(C67=FALSE,"C"))))</f>
        <v/>
      </c>
      <c r="C67" s="5" t="b">
        <v>1</v>
      </c>
      <c r="D67" s="15"/>
      <c r="E67" s="13"/>
      <c r="F67" s="15"/>
      <c r="G67" s="9" t="s">
        <v>1049</v>
      </c>
      <c r="H67" s="25"/>
    </row>
    <row r="68" spans="2:8" ht="45.75" hidden="1" customHeight="1" x14ac:dyDescent="0.35">
      <c r="B68" s="5" t="str">
        <f>IF(OR(Home!$D$7="",Home!$D$8="No"),"",IF(ISBLANK(HLOOKUP(Home!$D$7,$D$2:$F$99,ROW(A67),FALSE)),"",IF(H68="",HLOOKUP(Home!$D$7,$D$2:$F$99,ROW(A67),FALSE),IF(C68=FALSE,"C"))))</f>
        <v/>
      </c>
      <c r="C68" s="5" t="b">
        <f>IF(H68="",TRUE,ISNUMBER(FIND("@",H68,1)+FIND(".",H68,1)))</f>
        <v>1</v>
      </c>
      <c r="D68" s="15"/>
      <c r="E68" s="13"/>
      <c r="F68" s="15"/>
      <c r="G68" s="9" t="str">
        <f>IF($H$67='Drop Down'!$D$2,"7a. Please provide the email address where you would want us to send the notification of our payment to you for SUA Payments.","")</f>
        <v/>
      </c>
      <c r="H68" s="26"/>
    </row>
    <row r="69" spans="2:8" ht="70.25" hidden="1" customHeight="1" x14ac:dyDescent="0.35">
      <c r="B69" s="5" t="str">
        <f>IF(OR(Home!$D$7="",Home!$D$8="No"),"",IF(ISBLANK(HLOOKUP(Home!$D$7,$D$2:$F$99,ROW(A68),FALSE)),"",IF(H69="",HLOOKUP(Home!$D$7,$D$2:$F$99,ROW(A68),FALSE),IF(C69=FALSE,"C"))))</f>
        <v/>
      </c>
      <c r="C69" s="5" t="b">
        <v>1</v>
      </c>
      <c r="D69" s="15"/>
      <c r="E69" s="15"/>
      <c r="F69" s="15"/>
      <c r="G69" s="9" t="str">
        <f>IF(AND(Home!$D$7="Company",OR($H$67="",RIGHT($H$67,8)="Program.")),"",CONCATENATE("8. Do you want to be paid via ACH/Direct Deposit? If No is selected, payment will be remitted via check sent to the billing address provided above."," Please note that payments via check take significantly longer to process in comparision to ACH/Direct Deposit."))</f>
        <v>8. Do you want to be paid via ACH/Direct Deposit? If No is selected, payment will be remitted via check sent to the billing address provided above. Please note that payments via check take significantly longer to process in comparision to ACH/Direct Deposit.</v>
      </c>
      <c r="H69" s="25"/>
    </row>
    <row r="70" spans="2:8" ht="72.5" hidden="1" x14ac:dyDescent="0.35">
      <c r="B70" s="5" t="str">
        <f>IF(OR(Home!$D$7="",Home!$D$8="No"),"",IF(ISBLANK(HLOOKUP(Home!$D$7,$D$2:$F$99,ROW(A69),FALSE)),"",IF(H70="",HLOOKUP(Home!$D$7,$D$2:$F$99,ROW(A69),FALSE),IF(C70=FALSE,"C"))))</f>
        <v/>
      </c>
      <c r="C70" s="5" t="b">
        <v>1</v>
      </c>
      <c r="D70" s="15"/>
      <c r="E70" s="13"/>
      <c r="F70" s="15"/>
      <c r="G70" s="9" t="s">
        <v>1048</v>
      </c>
      <c r="H70" s="25"/>
    </row>
    <row r="71" spans="2:8" ht="43.5" x14ac:dyDescent="0.35">
      <c r="B71" s="5" t="str">
        <f>IF(OR(Home!$D$7="",Home!$D$8="No"),"",IF(ISBLANK(HLOOKUP(Home!$D$7,$D$2:$F$99,ROW(A70),FALSE)),"",IF(H71="",HLOOKUP(Home!$D$7,$D$2:$F$99,ROW(A70),FALSE),IF(C71=FALSE,"C"))))</f>
        <v/>
      </c>
      <c r="C71" s="5" t="b">
        <v>1</v>
      </c>
      <c r="D71" s="15"/>
      <c r="E71" s="15"/>
      <c r="F71" s="15" t="s">
        <v>14</v>
      </c>
      <c r="G71" s="9" t="s">
        <v>82</v>
      </c>
      <c r="H71" s="25"/>
    </row>
    <row r="72" spans="2:8" ht="155.25" customHeight="1" x14ac:dyDescent="0.35">
      <c r="B72" s="5" t="str">
        <f>IF(OR(Home!$D$7="",Home!$D$8="No"),"",IF(ISBLANK(HLOOKUP(Home!$D$7,$D$2:$F$99,ROW(A71),FALSE)),"",IF(H72="",HLOOKUP(Home!$D$7,$D$2:$F$99,ROW(A71),FALSE),IF(C72=FALSE,"C"))))</f>
        <v/>
      </c>
      <c r="C72" s="1" t="b">
        <v>1</v>
      </c>
      <c r="D72" s="15"/>
      <c r="E72" s="15"/>
      <c r="F72" s="15" t="s">
        <v>14</v>
      </c>
      <c r="G72"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72" s="32"/>
    </row>
    <row r="73" spans="2:8" ht="19.5" customHeight="1" x14ac:dyDescent="0.35">
      <c r="B73" s="5" t="str">
        <f>IF(OR(Home!$D$7="",Home!$D$8="No"),"",IF(ISBLANK(HLOOKUP(Home!$D$7,$D$2:$F$99,ROW(A72),FALSE)),"",IF(H73="",HLOOKUP(Home!$D$7,$D$2:$F$99,ROW(A72),FALSE),IF(C73=FALSE,"C"))))</f>
        <v/>
      </c>
      <c r="C73" s="5" t="b">
        <v>1</v>
      </c>
      <c r="D73" s="15"/>
      <c r="E73" s="15"/>
      <c r="F73" s="15" t="s">
        <v>14</v>
      </c>
      <c r="G73" s="9" t="s">
        <v>101</v>
      </c>
      <c r="H73" s="27"/>
    </row>
    <row r="74" spans="2:8" ht="15" customHeight="1" x14ac:dyDescent="0.35">
      <c r="B74" s="5" t="str">
        <f>IF(OR(Home!$D$7="",Home!$D$8="No"),"",IF(ISBLANK(HLOOKUP(Home!$D$7,$D$2:$F$99,ROW(A73),FALSE)),"",IF(H74="",HLOOKUP(Home!$D$7,$D$2:$F$99,ROW(A73),FALSE),IF(C74=FALSE,"C"))))</f>
        <v/>
      </c>
      <c r="C74" s="5" t="b">
        <v>1</v>
      </c>
      <c r="D74" s="15"/>
      <c r="E74" s="15"/>
      <c r="F74" s="15" t="s">
        <v>22</v>
      </c>
      <c r="G74" s="46"/>
      <c r="H74" s="49"/>
    </row>
    <row r="75" spans="2:8" ht="26" hidden="1" x14ac:dyDescent="0.35">
      <c r="B75" s="5" t="str">
        <f>IF(OR(Home!$D$7="",Home!$D$8="No"),"",IF(ISBLANK(HLOOKUP(Home!$D$7,$D$2:$F$99,ROW(A74),FALSE)),"",IF(H75="",HLOOKUP(Home!$D$7,$D$2:$F$99,ROW(A74),FALSE),IF(C75=FALSE,"C"))))</f>
        <v/>
      </c>
      <c r="C75" s="1" t="b">
        <v>1</v>
      </c>
      <c r="D75" s="16"/>
      <c r="E75" s="16"/>
      <c r="F75" s="14"/>
      <c r="G75" s="54" t="s">
        <v>95</v>
      </c>
      <c r="H75" s="54"/>
    </row>
    <row r="76" spans="2:8" hidden="1" x14ac:dyDescent="0.35">
      <c r="B76" s="5" t="str">
        <f>IF(OR(Home!$D$7="",Home!$D$8="No"),"",IF(ISBLANK(HLOOKUP(Home!$D$7,$D$2:$F$99,ROW(A75),FALSE)),"",IF(H76="",HLOOKUP(Home!$D$7,$D$2:$F$99,ROW(A75),FALSE),IF(C76=FALSE,"C"))))</f>
        <v/>
      </c>
      <c r="C76" s="1" t="b">
        <v>1</v>
      </c>
      <c r="D76" s="16"/>
      <c r="E76" s="16"/>
      <c r="F76" s="14"/>
      <c r="G76" s="55" t="str">
        <f>Home!D7&amp;" Information"</f>
        <v xml:space="preserve"> Information</v>
      </c>
      <c r="H76" s="56"/>
    </row>
    <row r="77" spans="2:8" hidden="1" x14ac:dyDescent="0.35">
      <c r="B77" s="5" t="str">
        <f>IF(OR(Home!$D$7="",Home!$D$8="No"),"",IF(ISBLANK(HLOOKUP(Home!$D$7,$D$2:$F$99,ROW(A76),FALSE)),"",IF(H77="",HLOOKUP(Home!$D$7,$D$2:$F$99,ROW(A76),FALSE),IF(C77=FALSE,"C"))))</f>
        <v/>
      </c>
      <c r="C77" s="1" t="b">
        <v>1</v>
      </c>
      <c r="D77" s="16"/>
      <c r="E77" s="16"/>
      <c r="F77" s="14"/>
      <c r="G77" s="3" t="str">
        <f>Home!D7&amp;" Name:"</f>
        <v xml:space="preserve"> Name:</v>
      </c>
      <c r="H77" s="25"/>
    </row>
    <row r="78" spans="2:8" hidden="1" x14ac:dyDescent="0.35">
      <c r="B78" s="5" t="str">
        <f>IF(OR(Home!$D$7="",Home!$D$8="No"),"",IF(ISBLANK(HLOOKUP(Home!$D$7,$D$2:$F$99,ROW(A77),FALSE)),"",IF(H78="",HLOOKUP(Home!$D$7,$D$2:$F$99,ROW(A77),FALSE),IF(C78=FALSE,"C"))))</f>
        <v/>
      </c>
      <c r="C78" s="1" t="b">
        <v>1</v>
      </c>
      <c r="D78" s="16"/>
      <c r="E78" s="14"/>
      <c r="F78" s="14"/>
      <c r="G78" s="3" t="str">
        <f>Home!D7&amp;" Division Name:"</f>
        <v xml:space="preserve"> Division Name:</v>
      </c>
      <c r="H78" s="25"/>
    </row>
    <row r="79" spans="2:8" hidden="1" x14ac:dyDescent="0.35">
      <c r="B79" s="5" t="str">
        <f>IF(OR(Home!$D$7="",Home!$D$8="No"),"",IF(ISBLANK(HLOOKUP(Home!$D$7,$D$2:$F$99,ROW(A78),FALSE)),"",IF(H79="",HLOOKUP(Home!$D$7,$D$2:$F$99,ROW(A78),FALSE),IF(C79=FALSE,"C"))))</f>
        <v/>
      </c>
      <c r="C79" s="5" t="b">
        <f>ISNUMBER(H79+0)</f>
        <v>1</v>
      </c>
      <c r="D79" s="16"/>
      <c r="E79" s="13"/>
      <c r="F79" s="13"/>
      <c r="G79" s="9" t="s">
        <v>15</v>
      </c>
      <c r="H79" s="25"/>
    </row>
    <row r="80" spans="2:8" hidden="1" x14ac:dyDescent="0.35">
      <c r="B80" s="5" t="str">
        <f>IF(OR(Home!$D$7="",Home!$D$8="No"),"",IF(ISBLANK(HLOOKUP(Home!$D$7,$D$2:$F$99,ROW(A79),FALSE)),"",IF(H80="",HLOOKUP(Home!$D$7,$D$2:$F$99,ROW(A79),FALSE),IF(C80=FALSE,"C"))))</f>
        <v/>
      </c>
      <c r="C80" s="5" t="b">
        <f>ISNUMBER(H80+0)</f>
        <v>1</v>
      </c>
      <c r="D80" s="16"/>
      <c r="E80" s="16"/>
      <c r="F80" s="15"/>
      <c r="G80" s="9" t="str">
        <f>IF(OR(Home!$D$7="Study Participant",Home!$D$7="Individual"),"Social Security Number (9 Digits):","Taxpayer Identification Number (9 Digits):")</f>
        <v>Taxpayer Identification Number (9 Digits):</v>
      </c>
      <c r="H80" s="25"/>
    </row>
    <row r="81" spans="2:8" hidden="1" x14ac:dyDescent="0.35">
      <c r="B81" s="5" t="str">
        <f>IF(OR(Home!$D$7="",Home!$D$8="No"),"",IF(ISBLANK(HLOOKUP(Home!$D$7,$D$2:$F$99,ROW(A80),FALSE)),"",IF(H81="",HLOOKUP(Home!$D$7,$D$2:$F$99,ROW(A80),FALSE),IF(C81=FALSE,"C"))))</f>
        <v/>
      </c>
      <c r="C81" s="5" t="b">
        <v>1</v>
      </c>
      <c r="D81" s="16"/>
      <c r="E81" s="16"/>
      <c r="F81" s="14"/>
      <c r="G81" s="3" t="str">
        <f>Home!D7&amp;" ACH Remittance Contact Name:"</f>
        <v xml:space="preserve"> ACH Remittance Contact Name:</v>
      </c>
      <c r="H81" s="25"/>
    </row>
    <row r="82" spans="2:8" hidden="1" x14ac:dyDescent="0.35">
      <c r="B82" s="5" t="str">
        <f>IF(OR(Home!$D$7="",Home!$D$8="No"),"",IF(ISBLANK(HLOOKUP(Home!$D$7,$D$2:$F$99,ROW(A81),FALSE)),"",IF(H82="",HLOOKUP(Home!$D$7,$D$2:$F$99,ROW(A81),FALSE),IF(C82=FALSE,"C"))))</f>
        <v/>
      </c>
      <c r="C82" s="5" t="b">
        <f>AND(ISNUMBER(H82+0),LEFT(H82,1)="1")</f>
        <v>0</v>
      </c>
      <c r="D82" s="16"/>
      <c r="E82" s="16"/>
      <c r="F82" s="14"/>
      <c r="G82" s="3" t="str">
        <f>Home!D7&amp;" ACH Remittance Contact Phone:"</f>
        <v xml:space="preserve"> ACH Remittance Contact Phone:</v>
      </c>
      <c r="H82" s="25"/>
    </row>
    <row r="83" spans="2:8" hidden="1" x14ac:dyDescent="0.35">
      <c r="B83" s="5" t="str">
        <f>IF(OR(Home!$D$7="",Home!$D$8="No"),"",IF(ISBLANK(HLOOKUP(Home!$D$7,$D$2:$F$99,ROW(A82),FALSE)),"",IF(H83="",HLOOKUP(Home!$D$7,$D$2:$F$99,ROW(A82),FALSE),IF(C83=FALSE,"C"))))</f>
        <v/>
      </c>
      <c r="C83" s="5" t="b">
        <f>IF(H83="",TRUE,ISNUMBER(FIND("@",H83,1)+FIND(".",H83,1)))</f>
        <v>1</v>
      </c>
      <c r="D83" s="16"/>
      <c r="E83" s="16"/>
      <c r="F83" s="14"/>
      <c r="G83" s="3" t="str">
        <f>Home!D7&amp;" ACH Remittance Email:"</f>
        <v xml:space="preserve"> ACH Remittance Email:</v>
      </c>
      <c r="H83" s="26"/>
    </row>
    <row r="84" spans="2:8" hidden="1" x14ac:dyDescent="0.35">
      <c r="B84" s="5" t="str">
        <f>IF(OR(Home!$D$7="",Home!$D$8="No"),"",IF(ISBLANK(HLOOKUP(Home!$D$7,$D$2:$F$99,ROW(A83),FALSE)),"",IF(H84="",HLOOKUP(Home!$D$7,$D$2:$F$99,ROW(A83),FALSE),IF(C84=FALSE,"C"))))</f>
        <v/>
      </c>
      <c r="C84" s="1" t="b">
        <v>1</v>
      </c>
      <c r="D84" s="16"/>
      <c r="E84" s="16"/>
      <c r="F84" s="14"/>
      <c r="G84" s="55" t="str">
        <f>Home!D7&amp;" Remittance Address"</f>
        <v xml:space="preserve"> Remittance Address</v>
      </c>
      <c r="H84" s="56"/>
    </row>
    <row r="85" spans="2:8" hidden="1" x14ac:dyDescent="0.35">
      <c r="B85" s="5" t="str">
        <f>IF(OR(Home!$D$7="",Home!$D$8="No"),"",IF(ISBLANK(HLOOKUP(Home!$D$7,$D$2:$F$99,ROW(A84),FALSE)),"",IF(H85="",HLOOKUP(Home!$D$7,$D$2:$F$99,ROW(A84),FALSE),IF(C85=FALSE,"C"))))</f>
        <v/>
      </c>
      <c r="C85" s="5" t="b">
        <v>1</v>
      </c>
      <c r="D85" s="16"/>
      <c r="E85" s="16"/>
      <c r="F85" s="14"/>
      <c r="G85" s="3" t="str">
        <f>Home!D7&amp;" Remittance Address Line 1:"</f>
        <v xml:space="preserve"> Remittance Address Line 1:</v>
      </c>
      <c r="H85" s="25"/>
    </row>
    <row r="86" spans="2:8" hidden="1" x14ac:dyDescent="0.35">
      <c r="B86" s="5" t="str">
        <f>IF(OR(Home!$D$7="",Home!$D$8="No"),"",IF(ISBLANK(HLOOKUP(Home!$D$7,$D$2:$F$99,ROW(A85),FALSE)),"",IF(H86="",HLOOKUP(Home!$D$7,$D$2:$F$99,ROW(A85),FALSE),IF(C86=FALSE,"C"))))</f>
        <v/>
      </c>
      <c r="C86" s="5" t="b">
        <v>1</v>
      </c>
      <c r="D86" s="16"/>
      <c r="E86" s="16"/>
      <c r="F86" s="14"/>
      <c r="G86" s="3" t="str">
        <f>Home!D7&amp;" Remittance Address Line 2:"</f>
        <v xml:space="preserve"> Remittance Address Line 2:</v>
      </c>
      <c r="H86" s="25"/>
    </row>
    <row r="87" spans="2:8" hidden="1" x14ac:dyDescent="0.35">
      <c r="B87" s="5" t="str">
        <f>IF(OR(Home!$D$7="",Home!$D$8="No"),"",IF(ISBLANK(HLOOKUP(Home!$D$7,$D$2:$F$99,ROW(A86),FALSE)),"",IF(H87="",HLOOKUP(Home!$D$7,$D$2:$F$99,ROW(A86),FALSE),IF(C87=FALSE,"C"))))</f>
        <v/>
      </c>
      <c r="C87" s="5" t="b">
        <v>1</v>
      </c>
      <c r="D87" s="16"/>
      <c r="E87" s="16"/>
      <c r="F87" s="14"/>
      <c r="G87" s="3" t="s">
        <v>6</v>
      </c>
      <c r="H87" s="25"/>
    </row>
    <row r="88" spans="2:8" hidden="1" x14ac:dyDescent="0.35">
      <c r="B88" s="5" t="str">
        <f>IF(OR(Home!$D$7="",Home!$D$8="No"),"",IF(ISBLANK(HLOOKUP(Home!$D$7,$D$2:$F$99,ROW(A87),FALSE)),"",IF(H88="",HLOOKUP(Home!$D$7,$D$2:$F$99,ROW(A87),FALSE),IF(C88=FALSE,"C"))))</f>
        <v/>
      </c>
      <c r="C88" s="5" t="b">
        <v>1</v>
      </c>
      <c r="D88" s="16"/>
      <c r="E88" s="16"/>
      <c r="F88" s="14"/>
      <c r="G88" s="3" t="s">
        <v>7</v>
      </c>
      <c r="H88" s="25"/>
    </row>
    <row r="89" spans="2:8" hidden="1" x14ac:dyDescent="0.35">
      <c r="B89" s="5" t="str">
        <f>IF(OR(Home!$D$7="",Home!$D$8="No"),"",IF(ISBLANK(HLOOKUP(Home!$D$7,$D$2:$F$99,ROW(A88),FALSE)),"",IF(H89="",HLOOKUP(Home!$D$7,$D$2:$F$99,ROW(A88),FALSE),IF(C89=FALSE,"C"))))</f>
        <v/>
      </c>
      <c r="C89" s="5" t="b">
        <v>1</v>
      </c>
      <c r="D89" s="16"/>
      <c r="E89" s="16"/>
      <c r="F89" s="14"/>
      <c r="G89" s="3" t="s">
        <v>8</v>
      </c>
      <c r="H89" s="25"/>
    </row>
    <row r="90" spans="2:8" hidden="1" x14ac:dyDescent="0.35">
      <c r="B90" s="5" t="str">
        <f>IF(OR(Home!$D$7="",Home!$D$8="No"),"",IF(ISBLANK(HLOOKUP(Home!$D$7,$D$2:$F$99,ROW(A89),FALSE)),"",IF(H90="",HLOOKUP(Home!$D$7,$D$2:$F$99,ROW(A89),FALSE),IF(C90=FALSE,"C"))))</f>
        <v/>
      </c>
      <c r="C90" s="1" t="b">
        <v>1</v>
      </c>
      <c r="D90" s="16"/>
      <c r="E90" s="16"/>
      <c r="F90" s="14"/>
      <c r="G90" s="55" t="s">
        <v>24</v>
      </c>
      <c r="H90" s="56"/>
    </row>
    <row r="91" spans="2:8" hidden="1" x14ac:dyDescent="0.35">
      <c r="B91" s="5" t="str">
        <f>IF(OR(Home!$D$7="",Home!$D$8="No"),"",IF(ISBLANK(HLOOKUP(Home!$D$7,$D$2:$F$99,ROW(A90),FALSE)),"",IF(H91="",HLOOKUP(Home!$D$7,$D$2:$F$99,ROW(A90),FALSE),IF(C91=FALSE,"C"))))</f>
        <v/>
      </c>
      <c r="C91" s="1" t="b">
        <v>1</v>
      </c>
      <c r="D91" s="16"/>
      <c r="E91" s="16"/>
      <c r="F91" s="14"/>
      <c r="G91" s="3" t="s">
        <v>25</v>
      </c>
      <c r="H91" s="25"/>
    </row>
    <row r="92" spans="2:8" hidden="1" x14ac:dyDescent="0.35">
      <c r="B92" s="5" t="str">
        <f>IF(OR(Home!$D$7="",Home!$D$8="No"),"",IF(ISBLANK(HLOOKUP(Home!$D$7,$D$2:$F$99,ROW(A91),FALSE)),"",IF(H92="",HLOOKUP(Home!$D$7,$D$2:$F$99,ROW(A91),FALSE),IF(C92=FALSE,"C"))))</f>
        <v/>
      </c>
      <c r="C92" s="5" t="b">
        <f>ISNUMBER(H92+0)</f>
        <v>1</v>
      </c>
      <c r="D92" s="16"/>
      <c r="E92" s="16"/>
      <c r="F92" s="14"/>
      <c r="G92" s="3" t="s">
        <v>26</v>
      </c>
      <c r="H92" s="25"/>
    </row>
    <row r="93" spans="2:8" hidden="1" x14ac:dyDescent="0.35">
      <c r="B93" s="5" t="str">
        <f>IF(OR(Home!$D$7="",Home!$D$8="No"),"",IF(ISBLANK(HLOOKUP(Home!$D$7,$D$2:$F$99,ROW(A92),FALSE)),"",IF(H93="",HLOOKUP(Home!$D$7,$D$2:$F$99,ROW(A92),FALSE),IF(C93=FALSE,"C"))))</f>
        <v/>
      </c>
      <c r="C93" s="5" t="b">
        <f>ISNUMBER(H93+0)</f>
        <v>1</v>
      </c>
      <c r="D93" s="16"/>
      <c r="E93" s="16"/>
      <c r="F93" s="14"/>
      <c r="G93" s="3" t="s">
        <v>27</v>
      </c>
      <c r="H93" s="25"/>
    </row>
    <row r="94" spans="2:8" hidden="1" x14ac:dyDescent="0.35">
      <c r="B94" s="5" t="str">
        <f>IF(OR(Home!$D$7="",Home!$D$8="No"),"",IF(ISBLANK(HLOOKUP(Home!$D$7,$D$2:$F$99,ROW(A93),FALSE)),"",IF(H94="",HLOOKUP(Home!$D$7,$D$2:$F$99,ROW(A93),FALSE),IF(C94=FALSE,"C"))))</f>
        <v/>
      </c>
      <c r="C94" s="1" t="b">
        <v>1</v>
      </c>
      <c r="D94" s="16"/>
      <c r="E94" s="16"/>
      <c r="F94" s="14"/>
      <c r="G94" s="55" t="str">
        <f>Home!D7&amp;" Authorization"</f>
        <v xml:space="preserve"> Authorization</v>
      </c>
      <c r="H94" s="56"/>
    </row>
    <row r="95" spans="2:8" hidden="1" x14ac:dyDescent="0.35">
      <c r="B95" s="5" t="str">
        <f>IF(OR(Home!$D$7="",Home!$D$8="No"),"",IF(ISBLANK(HLOOKUP(Home!$D$7,$D$2:$F$99,ROW(A94),FALSE)),"",IF(H95="",HLOOKUP(Home!$D$7,$D$2:$F$99,ROW(A94),FALSE),IF(C95=FALSE,"C"))))</f>
        <v/>
      </c>
      <c r="C95" s="1" t="b">
        <v>1</v>
      </c>
      <c r="D95" s="16"/>
      <c r="E95" s="16"/>
      <c r="F95" s="14"/>
      <c r="G95" s="57" t="s">
        <v>94</v>
      </c>
      <c r="H95" s="58"/>
    </row>
    <row r="96" spans="2:8" ht="152.25" hidden="1" customHeight="1" x14ac:dyDescent="0.35">
      <c r="B96" s="5" t="str">
        <f>IF(OR(Home!$D$7="",Home!$D$8="No"),"",IF(ISBLANK(HLOOKUP(Home!$D$7,$D$2:$F$99,ROW(A95),FALSE)),"",IF(H96="",HLOOKUP(Home!$D$7,$D$2:$F$99,ROW(A95),FALSE),IF(C96=FALSE,"C"))))</f>
        <v/>
      </c>
      <c r="C96" s="1" t="b">
        <v>1</v>
      </c>
      <c r="D96" s="16"/>
      <c r="E96" s="16"/>
      <c r="F96" s="14"/>
      <c r="G96" s="3"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96" s="32"/>
    </row>
    <row r="97" spans="2:8" hidden="1" x14ac:dyDescent="0.35">
      <c r="B97" s="5" t="str">
        <f>IF(OR(Home!$D$7="",Home!$D$8="No"),"",IF(ISBLANK(HLOOKUP(Home!$D$7,$D$2:$F$99,ROW(A96),FALSE)),"",IF(H97="",HLOOKUP(Home!$D$7,$D$2:$F$99,ROW(A96),FALSE),IF(C97=FALSE,"C"))))</f>
        <v/>
      </c>
      <c r="C97" s="1" t="b">
        <v>1</v>
      </c>
      <c r="D97" s="16"/>
      <c r="E97" s="16"/>
      <c r="F97" s="14"/>
      <c r="G97" s="3" t="s">
        <v>101</v>
      </c>
      <c r="H97" s="27"/>
    </row>
    <row r="98" spans="2:8" hidden="1" x14ac:dyDescent="0.35">
      <c r="B98" s="5" t="str">
        <f>IF(OR(Home!$D$7="",Home!$D$8="No"),"",IF(ISBLANK(HLOOKUP(Home!$D$7,$D$2:$F$99,ROW(A97),FALSE)),"",IF(H98="",HLOOKUP(Home!$D$7,$D$2:$F$99,ROW(A97),FALSE),IF(C98=FALSE,"C"))))</f>
        <v/>
      </c>
      <c r="C98" s="1" t="b">
        <v>1</v>
      </c>
      <c r="D98" s="16"/>
      <c r="E98" s="14"/>
      <c r="F98" s="14"/>
      <c r="G98" s="3" t="s">
        <v>100</v>
      </c>
      <c r="H98" s="25"/>
    </row>
    <row r="99" spans="2:8" hidden="1" x14ac:dyDescent="0.35">
      <c r="B99" s="5" t="str">
        <f>IF(OR(Home!$D$7="",Home!$D$8="No"),"",IF(ISBLANK(HLOOKUP(Home!$D$7,$D$2:$F$99,ROW(A98),FALSE)),"",IF(H99="",HLOOKUP(Home!$D$7,$D$2:$F$99,ROW(A98),FALSE),IF(C99=FALSE,"C"))))</f>
        <v/>
      </c>
      <c r="C99" s="5" t="b">
        <f>AND(ISNUMBER(H99+0),LEFT(H99,1)="1")</f>
        <v>0</v>
      </c>
      <c r="D99" s="16"/>
      <c r="E99" s="14"/>
      <c r="F99" s="14"/>
      <c r="G99" s="3" t="s">
        <v>99</v>
      </c>
      <c r="H99" s="25"/>
    </row>
  </sheetData>
  <sheetProtection algorithmName="SHA-512" hashValue="NpYfjOrXkBkBsCKqGmG9dekfxKb953zg1sZtExpvS38cdFI7X8Nx2LV/BxLDXxnpz7C80/f2Y2erITjX5zlyEg==" saltValue="2TMLTz1G3bBE8ykDeEaL8w==" spinCount="100000" sheet="1" formatRows="0" selectLockedCells="1"/>
  <autoFilter ref="B2:F99" xr:uid="{306DB0EA-EB5A-4E84-8716-9E6116845EFE}">
    <filterColumn colId="4">
      <customFilters>
        <customFilter operator="notEqual" val=" "/>
      </customFilters>
    </filterColumn>
  </autoFilter>
  <mergeCells count="16">
    <mergeCell ref="G84:H84"/>
    <mergeCell ref="G90:H90"/>
    <mergeCell ref="G94:H94"/>
    <mergeCell ref="G95:H95"/>
    <mergeCell ref="G48:H48"/>
    <mergeCell ref="G57:H57"/>
    <mergeCell ref="G58:H58"/>
    <mergeCell ref="G74:H74"/>
    <mergeCell ref="G75:H75"/>
    <mergeCell ref="G76:H76"/>
    <mergeCell ref="G37:H37"/>
    <mergeCell ref="G2:H2"/>
    <mergeCell ref="G3:H3"/>
    <mergeCell ref="G8:H8"/>
    <mergeCell ref="G9:H9"/>
    <mergeCell ref="G29:H29"/>
  </mergeCells>
  <conditionalFormatting sqref="G2:H99">
    <cfRule type="expression" dxfId="9" priority="1">
      <formula>$B2=""</formula>
    </cfRule>
  </conditionalFormatting>
  <conditionalFormatting sqref="J2">
    <cfRule type="expression" dxfId="8" priority="2">
      <formula>$B2=""</formula>
    </cfRule>
  </conditionalFormatting>
  <conditionalFormatting sqref="G2:H2">
    <cfRule type="expression" dxfId="7" priority="5">
      <formula>LEFT($G$2,9)="Completed"</formula>
    </cfRule>
  </conditionalFormatting>
  <conditionalFormatting sqref="H3:H99">
    <cfRule type="expression" dxfId="6" priority="3">
      <formula>$B3="C"</formula>
    </cfRule>
    <cfRule type="expression" dxfId="5" priority="4">
      <formula>$B3="R"</formula>
    </cfRule>
  </conditionalFormatting>
  <dataValidations count="14">
    <dataValidation type="list" allowBlank="1" showInputMessage="1" showErrorMessage="1" sqref="H71 H69 H41 H49 H4:H6 H59:H64" xr:uid="{333A2EB7-01C8-4197-9EFF-110961DF6459}">
      <formula1>"Yes,No"</formula1>
    </dataValidation>
    <dataValidation type="list" allowBlank="1" showInputMessage="1" showErrorMessage="1" sqref="H38" xr:uid="{1F95E216-8BD9-45B3-8017-3411C63BD5C0}">
      <formula1>"Email (Plain Text Format),Email (HTML Format),Fax"</formula1>
    </dataValidation>
    <dataValidation type="list" allowBlank="1" showInputMessage="1" showErrorMessage="1" sqref="H16" xr:uid="{02ABA8B6-8FB9-469C-9A51-A11DF61AA8AC}">
      <formula1>"Employer Identification Number (EIN),Social Security Number (SSN)"</formula1>
    </dataValidation>
    <dataValidation type="list" allowBlank="1" showInputMessage="1" showErrorMessage="1" sqref="H19" xr:uid="{CED8B875-B1ED-43DC-9698-BA9FAC92B02B}">
      <formula1>"C Corporation, S Corporation, Partnership"</formula1>
    </dataValidation>
    <dataValidation type="list" allowBlank="1" showInputMessage="1" showErrorMessage="1" sqref="H18" xr:uid="{C3535AC2-A33E-4A1B-A2D4-E1027E847137}">
      <formula1>"Sole Proprietor or Single Member LLC, C Corporation, S Corporation, Partnership, Trust/Estate, Limited Liability Company (LLC),Government,Non-Profit"</formula1>
    </dataValidation>
    <dataValidation type="textLength" allowBlank="1" showInputMessage="1" showErrorMessage="1" promptTitle="Phone Number" prompt="Requires 11 digits with no special characters and the first digit must start with the number 1." sqref="H14 H35 H47 H55 H82 H99" xr:uid="{89CF12BE-0F19-4DFB-ACFB-98FF280C98A1}">
      <formula1>11</formula1>
      <formula2>11</formula2>
    </dataValidation>
    <dataValidation type="textLength" allowBlank="1" showInputMessage="1" showErrorMessage="1" promptTitle="DUNS Number" prompt="The DUNS Number is a Dun and Bradstreet 9 digit number with no special characters. If you do not know your DUNS number, you may look it up or request one at the following link https://www.dnb.com/duns-number.html" sqref="H12 H79" xr:uid="{0CDA177A-4692-4C30-B23C-C90968FF2B52}">
      <formula1>9</formula1>
      <formula2>9</formula2>
    </dataValidation>
    <dataValidation type="textLength" allowBlank="1" showInputMessage="1" showErrorMessage="1" promptTitle="TIN Number" prompt="This field requires 9 digits without any special characters._x000a__x000a_Example of Acceptable Format: _x000a_272786963_x000a__x000a_Example of Unacceptable Format: _x000a_272-78-6963" sqref="H17 H80" xr:uid="{C0A8BF93-BDC5-41BC-A106-52EA59A41604}">
      <formula1>9</formula1>
      <formula2>9</formula2>
    </dataValidation>
    <dataValidation type="textLength" allowBlank="1" showInputMessage="1" showErrorMessage="1" promptTitle="Fax Number" prompt="Requires 11 digits with no special characters and the first digit must start with the number 1." sqref="H40" xr:uid="{60BA790E-EB5A-460D-BA1C-ECD92FA9D703}">
      <formula1>11</formula1>
      <formula2>11</formula2>
    </dataValidation>
    <dataValidation type="textLength" allowBlank="1" showInputMessage="1" showErrorMessage="1" promptTitle="Routing Number" prompt="This field requires 9 digits without any special characters." sqref="H92" xr:uid="{82EE0524-AFD3-4108-8162-A7B10E05A677}">
      <formula1>9</formula1>
      <formula2>9</formula2>
    </dataValidation>
    <dataValidation type="list" allowBlank="1" showInputMessage="1" showErrorMessage="1" sqref="H5" xr:uid="{A6153F9B-F2BE-421A-B10B-688B7D214C81}">
      <formula1>"New,Update"</formula1>
    </dataValidation>
    <dataValidation type="list" allowBlank="1" showInputMessage="1" showErrorMessage="1" sqref="H70" xr:uid="{165C0578-896B-4B90-A8B0-57769A98BD8C}">
      <formula1>"My company is already registered with SAM,My company plans to regiser with SAM,My company does not plan to regiser with SAM"</formula1>
    </dataValidation>
    <dataValidation type="list" allowBlank="1" showInputMessage="1" showErrorMessage="1" sqref="H20" xr:uid="{E95BDC00-3F2D-434A-9DD9-7585390DA7CF}">
      <formula1>"No,Yes - Small and Diverse,Yes - Small Only,Yes - Diverse Only"</formula1>
    </dataValidation>
    <dataValidation type="list" allowBlank="1" showInputMessage="1" showErrorMessage="1" sqref="H21:H28" xr:uid="{BB3A8E2E-832E-48CF-9AED-3AA891C2E576}">
      <formula1>"No,Yes - Certified,Yes - Self-Identified"</formula1>
    </dataValidation>
  </dataValidations>
  <pageMargins left="0.7" right="0.7" top="0.75" bottom="0.75" header="0.3" footer="0.3"/>
  <pageSetup scale="4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0C59A29-280B-4D67-94ED-9DFC44F463EF}">
          <x14:formula1>
            <xm:f>'Drop Down'!$D$2:$D$7</xm:f>
          </x14:formula1>
          <xm:sqref>H67</xm:sqref>
        </x14:dataValidation>
        <x14:dataValidation type="list" allowBlank="1" showInputMessage="1" showErrorMessage="1" xr:uid="{3B778ADF-A31D-4715-B48E-E480482CDC46}">
          <x14:formula1>
            <xm:f>'Drop Down'!$B$2:$B$53</xm:f>
          </x14:formula1>
          <xm:sqref>H45 H33 H53 H88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44CD-8DDD-44D2-9AE2-BF95FA8F1FB2}">
  <dimension ref="B1:J73"/>
  <sheetViews>
    <sheetView showGridLines="0" zoomScaleNormal="100" workbookViewId="0">
      <pane ySplit="2" topLeftCell="A3" activePane="bottomLeft" state="frozen"/>
      <selection pane="bottomLeft" activeCell="H4" sqref="H4"/>
    </sheetView>
  </sheetViews>
  <sheetFormatPr defaultColWidth="9.08984375" defaultRowHeight="14.5" x14ac:dyDescent="0.35"/>
  <cols>
    <col min="1" max="1" width="1.08984375" style="8" customWidth="1"/>
    <col min="2" max="2" width="12.54296875" style="5" hidden="1" customWidth="1"/>
    <col min="3" max="3" width="9.90625" style="5" hidden="1" customWidth="1"/>
    <col min="4" max="4" width="9.6328125" style="5" hidden="1" customWidth="1"/>
    <col min="5" max="6" width="4.6328125" style="5" hidden="1" customWidth="1"/>
    <col min="7" max="7" width="65.6328125" style="6" customWidth="1"/>
    <col min="8" max="8" width="74.36328125" style="7" customWidth="1"/>
    <col min="9" max="9" width="1.36328125" style="8" customWidth="1"/>
    <col min="10" max="10" width="12" style="8" customWidth="1"/>
    <col min="11" max="16384" width="9.08984375" style="8"/>
  </cols>
  <sheetData>
    <row r="1" spans="2:10" ht="15" thickBot="1" x14ac:dyDescent="0.4">
      <c r="G1" s="34" t="str">
        <f>Home!C1&amp;" ("&amp;IF(Home!D8="No","Foreign Source Statement for ","")&amp;Home!$D$7&amp;")"</f>
        <v>Supplier Information Form (SIF) Version 2.0 Effective 4-15-2020 ()</v>
      </c>
    </row>
    <row r="2" spans="2:10" ht="63" customHeight="1" thickTop="1" thickBot="1" x14ac:dyDescent="0.4">
      <c r="B2" s="5" t="str">
        <f>IF(Home!$D$8="No","Conditional Formatting","")</f>
        <v/>
      </c>
      <c r="C2" s="5" t="s">
        <v>28</v>
      </c>
      <c r="D2" s="5" t="s">
        <v>89</v>
      </c>
      <c r="G2" s="50" t="str">
        <f>IF(AND(COUNTIF($B$3:$B$73,"R")&gt;0,COUNTIF($B$3:$B$73,"C")&gt;0),"There are "&amp;COUNTIF($B$3:$B$73,"R")&amp;" required fields remaining highlighted in yellow with mini-dots."&amp;CHAR(10)&amp;"There are "&amp;COUNTIF($B$3:$B$73,"C")&amp;" fields that need correction highlighted in red.",IF(AND(COUNTIF($B$3:$B$73,"R")&gt;0,COUNTIF($B$3:$B$73,"C")=0),"There are "&amp;COUNTIF($B$3:$B$73,"R")&amp;" required fields remaining highlighted in yellow with mini-dots.",IF(AND(COUNTIF($B$3:$B$73,"R")=0,COUNTIF($B$3:$B$73,"C")&gt;0),"There are "&amp;COUNTIF($B$3:$B$73,"C")&amp;" fields that need correction highlighted in red.","Completed! Please submit this excel file to the Emory personnel that provided you this form.")))</f>
        <v>Completed! Please submit this excel file to the Emory personnel that provided you this form.</v>
      </c>
      <c r="H2" s="51"/>
      <c r="J2" s="11" t="str">
        <f>HYPERLINK(CONCATENATE("#Home!D8"),"Click Here to Go Back")</f>
        <v>Click Here to Go Back</v>
      </c>
    </row>
    <row r="3" spans="2:10" ht="23.25" customHeight="1" thickTop="1" x14ac:dyDescent="0.35">
      <c r="B3" s="5" t="str">
        <f>IF(OR(Home!$D$8="",Home!$D$8="Yes"),"",IF(H3="",HLOOKUP(Home!$D$8,FRGN!$D$2:$F$73,ROW(A2),FALSE),IF(C3=FALSE,"C")))</f>
        <v/>
      </c>
      <c r="C3" s="5" t="b">
        <v>1</v>
      </c>
      <c r="D3" s="15" t="s">
        <v>22</v>
      </c>
      <c r="E3" s="15"/>
      <c r="F3" s="15"/>
      <c r="G3" s="46" t="str">
        <f>Home!$D$7&amp;" Prerequisite Questions"</f>
        <v xml:space="preserve"> Prerequisite Questions</v>
      </c>
      <c r="H3" s="49"/>
    </row>
    <row r="4" spans="2:10" ht="30.75" customHeight="1" x14ac:dyDescent="0.35">
      <c r="B4" s="5" t="str">
        <f>IF(OR(Home!$D$8="",Home!$D$8="Yes"),"",IF(H4="",HLOOKUP(Home!$D$8,FRGN!$D$2:$F$73,ROW(A3),FALSE),IF(C4=FALSE,"C")))</f>
        <v/>
      </c>
      <c r="C4" s="5" t="b">
        <v>1</v>
      </c>
      <c r="D4" s="15" t="s">
        <v>14</v>
      </c>
      <c r="E4" s="15"/>
      <c r="F4" s="15"/>
      <c r="G4" s="9" t="str">
        <f>IF(Home!$D$7="Company","Is your company",IF(Home!$D$7&lt;&gt;"Company","Are you",""))&amp;" filling out this form to update current information on file with Emory? If not sure, select 'No' from drop down box."</f>
        <v>Are you filling out this form to update current information on file with Emory? If not sure, select 'No' from drop down box.</v>
      </c>
      <c r="H4" s="25"/>
    </row>
    <row r="5" spans="2:10" ht="30.75" customHeight="1" x14ac:dyDescent="0.35">
      <c r="B5" s="5" t="str">
        <f>IF(OR(Home!$D$8="",Home!$D$8="Yes"),"",IF(H5="",HLOOKUP(Home!$D$8,FRGN!$D$2:$F$73,ROW(A4),FALSE),IF(C5=FALSE,"C")))</f>
        <v/>
      </c>
      <c r="C5" s="5" t="b">
        <v>1</v>
      </c>
      <c r="D5" s="15" t="str">
        <f>IF(H4="Yes","R","Y")</f>
        <v>Y</v>
      </c>
      <c r="E5" s="15"/>
      <c r="F5" s="15"/>
      <c r="G5" s="9" t="str">
        <f>IF(H4="Yes",IF(Home!$D$7="Company","Does your company",IF(Home!$D$7&lt;&gt;"Company","Do you",""))&amp;" only need to update the Wire Payment information on file with Emory?","")</f>
        <v/>
      </c>
      <c r="H5" s="25"/>
    </row>
    <row r="6" spans="2:10" ht="30.75" customHeight="1" x14ac:dyDescent="0.35">
      <c r="B6" s="5" t="str">
        <f>IF(OR(Home!$D$8="",Home!$D$8="Yes"),"",IF(H6="",HLOOKUP(Home!$D$8,FRGN!$D$2:$F$73,ROW(A5),FALSE),IF(C6=FALSE,"C")))</f>
        <v/>
      </c>
      <c r="C6" s="5" t="b">
        <v>1</v>
      </c>
      <c r="D6" s="15" t="str">
        <f>IF(Home!D7="Company","R","Y")</f>
        <v>Y</v>
      </c>
      <c r="E6" s="15"/>
      <c r="F6" s="15"/>
      <c r="G6" s="9" t="str">
        <f>IF(Home!D7="Company","Is your company the direct output of a merger, acquisition, or spinoff?","")</f>
        <v/>
      </c>
      <c r="H6" s="25"/>
    </row>
    <row r="7" spans="2:10" ht="46.5" customHeight="1" x14ac:dyDescent="0.35">
      <c r="B7" s="5" t="str">
        <f>IF(OR(Home!$D$8="",Home!$D$8="Yes"),"",IF(H7="",HLOOKUP(Home!$D$8,FRGN!$D$2:$F$73,ROW(A6),FALSE),IF(C7=FALSE,"C")))</f>
        <v/>
      </c>
      <c r="C7" s="5" t="b">
        <v>1</v>
      </c>
      <c r="D7" s="15" t="str">
        <f>IF(H6="Yes","R","Y")</f>
        <v>Y</v>
      </c>
      <c r="E7" s="15"/>
      <c r="F7" s="15"/>
      <c r="G7" s="9" t="str">
        <f>IF(H6="Yes","Please provide a brief description of the merger, acquisition, or spinoff:","")</f>
        <v/>
      </c>
      <c r="H7" s="25"/>
    </row>
    <row r="8" spans="2:10" ht="14.25" customHeight="1" x14ac:dyDescent="0.35">
      <c r="B8" s="5" t="str">
        <f>IF(OR(Home!$D$8="",Home!$D$8="Yes"),"",IF(H8="",HLOOKUP(Home!$D$8,FRGN!$D$2:$F$73,ROW(A7),FALSE),IF(C8=FALSE,"C")))</f>
        <v/>
      </c>
      <c r="C8" s="5" t="b">
        <v>1</v>
      </c>
      <c r="D8" s="15" t="s">
        <v>22</v>
      </c>
      <c r="E8" s="15"/>
      <c r="F8" s="15"/>
      <c r="G8" s="46"/>
      <c r="H8" s="49"/>
    </row>
    <row r="9" spans="2:10" ht="30.75" customHeight="1" x14ac:dyDescent="0.35">
      <c r="B9" s="5" t="str">
        <f>IF(OR(Home!$D$8="",Home!$D$8="Yes"),"",IF(H9="",HLOOKUP(Home!$D$8,FRGN!$D$2:$F$73,ROW(A8),FALSE),IF(C9=FALSE,"C")))</f>
        <v/>
      </c>
      <c r="C9" s="5" t="b">
        <v>1</v>
      </c>
      <c r="D9" s="15" t="str">
        <f>IF(COUNTIF($B$4:$B$7,"R")&gt;0,"","Y")</f>
        <v>Y</v>
      </c>
      <c r="G9" s="52" t="str">
        <f>Home!$D$7&amp;" Name and General Information"</f>
        <v xml:space="preserve"> Name and General Information</v>
      </c>
      <c r="H9" s="53"/>
    </row>
    <row r="10" spans="2:10" x14ac:dyDescent="0.35">
      <c r="B10" s="5" t="str">
        <f>IF(OR(Home!$D$8="",Home!$D$8="Yes"),"",IF(H10="",HLOOKUP(Home!$D$8,FRGN!$D$2:$F$73,ROW(A9),FALSE),IF(C10=FALSE,"C")))</f>
        <v/>
      </c>
      <c r="C10" s="5" t="b">
        <v>1</v>
      </c>
      <c r="D10" s="15" t="str">
        <f>IF(COUNTIF($B$4:$B$7,"R")&gt;0,"",IF($H$5="Yes","Y","R"))</f>
        <v>R</v>
      </c>
      <c r="G10" s="9" t="s">
        <v>86</v>
      </c>
      <c r="H10" s="28"/>
    </row>
    <row r="11" spans="2:10" x14ac:dyDescent="0.35">
      <c r="B11" s="5" t="str">
        <f>IF(OR(Home!$D$8="",Home!$D$8="Yes"),"",IF(H11="",HLOOKUP(Home!$D$8,FRGN!$D$2:$F$73,ROW(A10),FALSE),IF(C11=FALSE,"C")))</f>
        <v/>
      </c>
      <c r="C11" s="5" t="b">
        <v>1</v>
      </c>
      <c r="D11" s="15" t="str">
        <f>IF(COUNTIF($B$4:$B$7,"R")&gt;0,"","Y")</f>
        <v>Y</v>
      </c>
      <c r="G11" s="9" t="s">
        <v>93</v>
      </c>
      <c r="H11" s="28"/>
    </row>
    <row r="12" spans="2:10" x14ac:dyDescent="0.35">
      <c r="B12" s="5" t="str">
        <f>IF(OR(Home!$D$8="",Home!$D$8="Yes"),"",IF(H12="",HLOOKUP(Home!$D$8,FRGN!$D$2:$F$73,ROW(A11),FALSE),IF(C12=FALSE,"C")))</f>
        <v/>
      </c>
      <c r="C12" s="5" t="b">
        <v>1</v>
      </c>
      <c r="D12" s="15" t="str">
        <f t="shared" ref="D12:D14" si="0">IF(COUNTIF($B$4:$B$7,"R")&gt;0,"",IF($H$5="Yes","Y","R"))</f>
        <v>R</v>
      </c>
      <c r="G12" s="9" t="s">
        <v>1</v>
      </c>
      <c r="H12" s="28"/>
    </row>
    <row r="13" spans="2:10" x14ac:dyDescent="0.35">
      <c r="B13" s="5" t="str">
        <f>IF(OR(Home!$D$8="",Home!$D$8="Yes"),"",IF(H13="",HLOOKUP(Home!$D$8,FRGN!$D$2:$F$73,ROW(A12),FALSE),IF(C13=FALSE,"C")))</f>
        <v/>
      </c>
      <c r="C13" s="5" t="b">
        <f>ISNUMBER(H13+0)</f>
        <v>1</v>
      </c>
      <c r="D13" s="15" t="str">
        <f t="shared" si="0"/>
        <v>R</v>
      </c>
      <c r="G13" s="9" t="s">
        <v>3</v>
      </c>
      <c r="H13" s="28"/>
    </row>
    <row r="14" spans="2:10" x14ac:dyDescent="0.35">
      <c r="B14" s="5" t="str">
        <f>IF(OR(Home!$D$8="",Home!$D$8="Yes"),"",IF(H14="",HLOOKUP(Home!$D$8,FRGN!$D$2:$F$73,ROW(A13),FALSE),IF(C14=FALSE,"C")))</f>
        <v/>
      </c>
      <c r="C14" s="5" t="b">
        <f>IF(H14="",TRUE,ISNUMBER(FIND("@",H14,1)+FIND(".",H14,1)))</f>
        <v>1</v>
      </c>
      <c r="D14" s="15" t="str">
        <f t="shared" si="0"/>
        <v>R</v>
      </c>
      <c r="G14" s="9" t="s">
        <v>4</v>
      </c>
      <c r="H14" s="29"/>
    </row>
    <row r="15" spans="2:10" x14ac:dyDescent="0.35">
      <c r="B15" s="5" t="str">
        <f>IF(OR(Home!$D$8="",Home!$D$8="Yes"),"",IF(H15="",HLOOKUP(Home!$D$8,FRGN!$D$2:$F$73,ROW(A14),FALSE),IF(C15=FALSE,"C")))</f>
        <v/>
      </c>
      <c r="C15" s="5" t="b">
        <v>1</v>
      </c>
      <c r="D15" s="15" t="str">
        <f>IF(COUNTIF($B$4:$B$7,"R")&gt;0,"",IF($H$5="Yes","Y",IF(Home!D7="Company","R","Y")))</f>
        <v>Y</v>
      </c>
      <c r="G15" s="9" t="str">
        <f>IF(Home!D7="Company","Select the classification that best describes your organization:","")</f>
        <v/>
      </c>
      <c r="H15" s="28"/>
    </row>
    <row r="16" spans="2:10" ht="61.5" customHeight="1" x14ac:dyDescent="0.35">
      <c r="B16" s="5" t="str">
        <f>IF(OR(Home!$D$8="",Home!$D$8="Yes"),"",IF(H16="",HLOOKUP(Home!$D$8,FRGN!$D$2:$F$73,ROW(A15),FALSE),IF(C16=FALSE,"C")))</f>
        <v/>
      </c>
      <c r="C16" s="5" t="b">
        <f>IF(H16="No",FALSE,TRUE)</f>
        <v>1</v>
      </c>
      <c r="D16" s="15" t="str">
        <f>IF(COUNTIF($B$4:$B$7,"R")&gt;0,"",IF($H$5="Yes","Y",IF(OR(G15="",H15&lt;&gt;""),"R","Y")))</f>
        <v>R</v>
      </c>
      <c r="G16" s="31" t="str">
        <f>IF(Home!D7&lt;&gt;"Company",HYPERLINK("https://finance.emory.edu/home/accounting/forms/index.html","A W-8 form is required to be completed. Based on classification above it is recommended that you complete the W-8BEN Certificate of Foreign Status. Click Here to Access the form. Please indicate a W-8 form has been completed:"),IF(H15="Foreign Company and a Financial Institution (FFI)",HYPERLINK("https://finance.emory.edu/home/accounting/forms/index.html","A W-8 form is required to be completed. Based on classification above it is recommended that you complete the W-8BEN-E Long Form. Click Here to Access the form. Please indicate a W-8 form has been completed:"),IF(H15="Foreign Company and not a Financial Institution",HYPERLINK("https://finance.emory.edu/home/accounting/forms/index.html","A W-8 form is required to be completed. Based on classification above it is recommended that you complete the W-8BEN-E Short Form. Click Here to Access the form. Please indicate a W-8 form has been completed:"),"")))</f>
        <v>A W-8 form is required to be completed. Based on classification above it is recommended that you complete the W-8BEN Certificate of Foreign Status. Click Here to Access the form. Please indicate a W-8 form has been completed:</v>
      </c>
      <c r="H16" s="28"/>
    </row>
    <row r="17" spans="2:8" x14ac:dyDescent="0.35">
      <c r="B17" s="5" t="str">
        <f>IF(OR(Home!$D$8="",Home!$D$8="Yes"),"",IF(H17="",HLOOKUP(Home!$D$8,FRGN!$D$2:$F$73,ROW(A16),FALSE),IF(C17=FALSE,"C")))</f>
        <v/>
      </c>
      <c r="C17" s="5" t="b">
        <f>OR(ISNUMBER(H17+0),$H$17="No DUNS #")</f>
        <v>1</v>
      </c>
      <c r="D17" s="15" t="str">
        <f>IF(COUNTIF($B$4:$B$7,"R")&gt;0,"",IF(OR($H$5="Yes",$H$15="",Home!D7&lt;&gt;"Company"),"Y","R"))</f>
        <v>Y</v>
      </c>
      <c r="G17" s="9" t="str">
        <f>IF(OR($H$15="",Home!D7&lt;&gt;"Company"),"","DUNS Number")</f>
        <v/>
      </c>
      <c r="H17" s="28"/>
    </row>
    <row r="18" spans="2:8" ht="54" customHeight="1" x14ac:dyDescent="0.35">
      <c r="B18" s="5" t="str">
        <f>IF(OR(Home!$D$8="",Home!$D$8="Yes"),"",IF(H18="",HLOOKUP(Home!$D$8,FRGN!$D$2:$F$73,ROW(A17),FALSE),IF(C18=FALSE,"C")))</f>
        <v/>
      </c>
      <c r="C18" s="5" t="b">
        <v>1</v>
      </c>
      <c r="D18" s="15" t="str">
        <f>IF(COUNTIF($B$4:$B$7,"R")&gt;0,"",IF(OR($H$5="Yes",$H$15="",ISNUMBER(H17+0),Home!D7&lt;&gt;"Company"),"Y","R"))</f>
        <v>Y</v>
      </c>
      <c r="G18" s="9" t="str">
        <f>IF(OR($H$15="",Home!D7&lt;&gt;"Company",$H$17="",ISNUMBER($H$17+0)),"","Please explain why a DUNS # cannot be obtain:")</f>
        <v/>
      </c>
      <c r="H18" s="28"/>
    </row>
    <row r="19" spans="2:8" x14ac:dyDescent="0.35">
      <c r="B19" s="5" t="str">
        <f>IF(OR(Home!$D$8="",Home!$D$8="Yes"),"",IF(H19="",HLOOKUP(Home!$D$8,FRGN!$D$2:$F$73,ROW(A18),FALSE),IF(C19=FALSE,"C")))</f>
        <v/>
      </c>
      <c r="C19" s="5" t="b">
        <v>1</v>
      </c>
      <c r="D19" s="15" t="str">
        <f>IF(COUNTIF($B$4:$B$7,"R")&gt;0,"",IF($H$5="Yes","Y","R"))</f>
        <v>R</v>
      </c>
      <c r="G19" s="9" t="s">
        <v>85</v>
      </c>
      <c r="H19" s="28"/>
    </row>
    <row r="20" spans="2:8" ht="33" customHeight="1" x14ac:dyDescent="0.35">
      <c r="B20" s="5" t="str">
        <f>IF(OR(Home!$D$8="",Home!$D$8="Yes"),"",IF(H20="",HLOOKUP(Home!$D$8,FRGN!$D$2:$F$73,ROW(A19),FALSE),IF(C20=FALSE,"C")))</f>
        <v/>
      </c>
      <c r="C20" s="5" t="b">
        <v>1</v>
      </c>
      <c r="D20" s="15" t="str">
        <f>IF(COUNTIF($B$4:$B$7,"R")&gt;0,"",IF($H$5="Yes","Y",IF($H$19="Yes","R","Y")))</f>
        <v>Y</v>
      </c>
      <c r="G20" s="9" t="str">
        <f>IF(OR(H19="",H19="No"),"","Will you be filing a Canadian tax return as a Canadian tax resident and reporting the payment from Emory as income?")</f>
        <v/>
      </c>
      <c r="H20" s="28"/>
    </row>
    <row r="21" spans="2:8" x14ac:dyDescent="0.35">
      <c r="B21" s="5" t="str">
        <f>IF(OR(Home!$D$8="",Home!$D$8="Yes"),"",IF(H21="",HLOOKUP(Home!$D$8,FRGN!$D$2:$F$73,ROW(A20),FALSE),IF(C21=FALSE,"C")))</f>
        <v/>
      </c>
      <c r="C21" s="5" t="b">
        <v>1</v>
      </c>
      <c r="D21" s="15" t="str">
        <f>IF(COUNTIF($B$4:$B$7,"R")&gt;0,"",IF($H$5="Yes","Y",IF($H$19="Yes","R","Y")))</f>
        <v>Y</v>
      </c>
      <c r="G21" s="9" t="str">
        <f>IF(OR($H$19="",$H$19="No"),"",IF(Home!D7&lt;&gt;"Company","Canadian Social Insurance Number:","Recipient's Account Number:"))</f>
        <v/>
      </c>
      <c r="H21" s="28"/>
    </row>
    <row r="22" spans="2:8" ht="60.75" customHeight="1" x14ac:dyDescent="0.35">
      <c r="B22" s="5" t="str">
        <f>IF(OR(Home!$D$8="",Home!$D$8="Yes"),"",IF(H22="",HLOOKUP(Home!$D$8,FRGN!$D$2:$F$73,ROW(A21),FALSE),IF(C22=FALSE,"C")))</f>
        <v/>
      </c>
      <c r="C22" s="5" t="b">
        <v>1</v>
      </c>
      <c r="D22" s="15" t="str">
        <f>IF(COUNTIF($B$4:$B$7,"R")&gt;0,"",IF($H$5="Yes","Y","R"))</f>
        <v>R</v>
      </c>
      <c r="G22" s="9" t="s">
        <v>87</v>
      </c>
      <c r="H22" s="28"/>
    </row>
    <row r="23" spans="2:8" ht="43.5" x14ac:dyDescent="0.35">
      <c r="B23" s="5" t="str">
        <f>IF(OR(Home!$D$8="",Home!$D$8="Yes"),"",IF(H23="",HLOOKUP(Home!$D$8,FRGN!$D$2:$F$73,ROW(A22),FALSE),IF(C23=FALSE,"C")))</f>
        <v/>
      </c>
      <c r="C23" s="5" t="b">
        <v>1</v>
      </c>
      <c r="D23" s="15" t="str">
        <f>IF(COUNTIF($B$4:$B$7,"R")&gt;0,"",IF($H$5="Yes","Y","R"))</f>
        <v>R</v>
      </c>
      <c r="G23" s="9" t="s">
        <v>88</v>
      </c>
      <c r="H23" s="28"/>
    </row>
    <row r="24" spans="2:8" ht="53.25" customHeight="1" x14ac:dyDescent="0.35">
      <c r="B24" s="5" t="str">
        <f>IF(OR(Home!$D$8="",Home!$D$8="Yes"),"",IF(H24="",HLOOKUP(Home!$D$8,FRGN!$D$2:$F$73,ROW(A23),FALSE),IF(C24=FALSE,"C")))</f>
        <v/>
      </c>
      <c r="C24" s="5" t="b">
        <v>1</v>
      </c>
      <c r="D24" s="15" t="str">
        <f>IF(COUNTIF($B$4:$B$7,"R")&gt;0,"",IF($H$5="Yes","Y",IF($H$23="No","R","Y")))</f>
        <v>Y</v>
      </c>
      <c r="G24" s="9" t="str">
        <f>IF(OR($H$23="Yes",$H$23=""),"","Please indicate if any services performed for Emory University were performed entirely outside of the United States, entirely inside of the United States, or partly outside and inside of the United States:")</f>
        <v/>
      </c>
      <c r="H24" s="28"/>
    </row>
    <row r="25" spans="2:8" ht="39" customHeight="1" x14ac:dyDescent="0.35">
      <c r="B25" s="5" t="str">
        <f>IF(OR(Home!$D$8="",Home!$D$8="Yes"),"",IF(H25="",HLOOKUP(Home!$D$8,FRGN!$D$2:$F$73,ROW(A24),FALSE),IF(C25=FALSE,"C")))</f>
        <v/>
      </c>
      <c r="C25" s="5" t="b">
        <v>1</v>
      </c>
      <c r="D25" s="15" t="str">
        <f>IF(COUNTIF($B$4:$B$7,"R")&gt;0,"",IF($H$5="Yes","Y",IF($H$23="No","R","Y")))</f>
        <v>Y</v>
      </c>
      <c r="G25" s="9" t="str">
        <f>IF(OR($H$23="Yes",$H$23=""),"","Please list the countries where services were performed:")</f>
        <v/>
      </c>
      <c r="H25" s="28"/>
    </row>
    <row r="26" spans="2:8" x14ac:dyDescent="0.35">
      <c r="B26" s="5" t="str">
        <f>IF(OR(Home!$D$8="",Home!$D$8="Yes"),"",IF(H26="",HLOOKUP(Home!$D$8,FRGN!$D$2:$F$73,ROW(A25),FALSE),IF(C26=FALSE,"C")))</f>
        <v/>
      </c>
      <c r="C26" s="5" t="b">
        <v>1</v>
      </c>
      <c r="D26" s="15" t="str">
        <f>IF(COUNTIF($B$4:$B$7,"R")&gt;0,"",IF($H$5="Yes","Y",IF($H$23="No","R","Y")))</f>
        <v>Y</v>
      </c>
      <c r="G26" s="9" t="str">
        <f>IF(OR($H$23="Yes",$H$23=""),"","Please indicate the starting date of when the services were performed:")</f>
        <v/>
      </c>
      <c r="H26" s="30"/>
    </row>
    <row r="27" spans="2:8" x14ac:dyDescent="0.35">
      <c r="B27" s="5" t="str">
        <f>IF(OR(Home!$D$8="",Home!$D$8="Yes"),"",IF(H27="",HLOOKUP(Home!$D$8,FRGN!$D$2:$F$73,ROW(A26),FALSE),IF(C27=FALSE,"C")))</f>
        <v/>
      </c>
      <c r="C27" s="5" t="b">
        <v>1</v>
      </c>
      <c r="D27" s="15" t="str">
        <f>IF(COUNTIF($B$4:$B$7,"R")&gt;0,"",IF($H$5="Yes","Y",IF($H$23="No","R","Y")))</f>
        <v>Y</v>
      </c>
      <c r="G27" s="9" t="str">
        <f>IF(OR($H$23="Yes",$H$23=""),"","Please indicate the ending date of when the services were performed:")</f>
        <v/>
      </c>
      <c r="H27" s="30"/>
    </row>
    <row r="28" spans="2:8" ht="23.25" customHeight="1" x14ac:dyDescent="0.35">
      <c r="B28" s="5" t="str">
        <f>IF(OR(Home!$D$8="",Home!$D$8="Yes"),"",IF(H28="",HLOOKUP(Home!$D$8,FRGN!$D$2:$F$73,ROW(A27),FALSE),IF(C28=FALSE,"C")))</f>
        <v/>
      </c>
      <c r="C28" s="5" t="b">
        <v>1</v>
      </c>
      <c r="D28" s="15" t="str">
        <f>IF(COUNTIF($B$4:$B$7,"R")&gt;0,"","Y")</f>
        <v>Y</v>
      </c>
      <c r="G28" s="46" t="s">
        <v>92</v>
      </c>
      <c r="H28" s="49"/>
    </row>
    <row r="29" spans="2:8" x14ac:dyDescent="0.35">
      <c r="B29" s="5" t="str">
        <f>IF(OR(Home!$D$8="",Home!$D$8="Yes"),"",IF(H29="",HLOOKUP(Home!$D$8,FRGN!$D$2:$F$73,ROW(A28),FALSE),IF(C29=FALSE,"C")))</f>
        <v/>
      </c>
      <c r="C29" s="5" t="b">
        <v>1</v>
      </c>
      <c r="D29" s="15" t="str">
        <f>IF(COUNTIF($B$4:$B$7,"R")&gt;0,"",IF($H$5="Yes","Y","R"))</f>
        <v>R</v>
      </c>
      <c r="G29" s="9" t="s">
        <v>16</v>
      </c>
      <c r="H29" s="28"/>
    </row>
    <row r="30" spans="2:8" x14ac:dyDescent="0.35">
      <c r="B30" s="5" t="str">
        <f>IF(OR(Home!$D$8="",Home!$D$8="Yes"),"",IF(H30="",HLOOKUP(Home!$D$8,FRGN!$D$2:$F$73,ROW(A29),FALSE),IF(C30=FALSE,"C")))</f>
        <v/>
      </c>
      <c r="C30" s="5" t="b">
        <v>1</v>
      </c>
      <c r="D30" s="15" t="str">
        <f>IF(COUNTIF($B$4:$B$7,"R")&gt;0,"","Y")</f>
        <v>Y</v>
      </c>
      <c r="G30" s="9" t="s">
        <v>17</v>
      </c>
      <c r="H30" s="28"/>
    </row>
    <row r="31" spans="2:8" x14ac:dyDescent="0.35">
      <c r="B31" s="5" t="str">
        <f>IF(OR(Home!$D$8="",Home!$D$8="Yes"),"",IF(H31="",HLOOKUP(Home!$D$8,FRGN!$D$2:$F$73,ROW(A30),FALSE),IF(C31=FALSE,"C")))</f>
        <v/>
      </c>
      <c r="C31" s="5" t="b">
        <v>1</v>
      </c>
      <c r="D31" s="15" t="str">
        <f>IF(COUNTIF($B$4:$B$7,"R")&gt;0,"","Y")</f>
        <v>Y</v>
      </c>
      <c r="G31" s="9" t="s">
        <v>91</v>
      </c>
      <c r="H31" s="28"/>
    </row>
    <row r="32" spans="2:8" ht="23.25" customHeight="1" x14ac:dyDescent="0.35">
      <c r="B32" s="5" t="str">
        <f>IF(OR(Home!$D$8="",Home!$D$8="Yes"),"",IF(H32="",HLOOKUP(Home!$D$8,FRGN!$D$2:$F$73,ROW(A31),FALSE),IF(C32=FALSE,"C")))</f>
        <v/>
      </c>
      <c r="C32" s="5" t="b">
        <v>1</v>
      </c>
      <c r="D32" s="15" t="str">
        <f>IF(COUNTIF($B$4:$B$7,"R")&gt;0,"","Y")</f>
        <v>Y</v>
      </c>
      <c r="G32" s="46" t="s">
        <v>81</v>
      </c>
      <c r="H32" s="49"/>
    </row>
    <row r="33" spans="2:8" x14ac:dyDescent="0.35">
      <c r="B33" s="5" t="str">
        <f>IF(OR(Home!$D$8="",Home!$D$8="Yes"),"",IF(H33="",HLOOKUP(Home!$D$8,FRGN!$D$2:$F$73,ROW(A32),FALSE),IF(C33=FALSE,"C")))</f>
        <v/>
      </c>
      <c r="C33" s="5" t="b">
        <v>1</v>
      </c>
      <c r="D33" s="15" t="str">
        <f>IF(COUNTIF($B$4:$B$7,"R")&gt;0,"",IF(OR($H$5="Yes",$H$15="",Home!D7&lt;&gt;"Company"),"Y","R"))</f>
        <v>Y</v>
      </c>
      <c r="G33" s="9" t="str">
        <f>IF(Home!D7="Company","Method to Receive Orders:","")</f>
        <v/>
      </c>
      <c r="H33" s="28"/>
    </row>
    <row r="34" spans="2:8" x14ac:dyDescent="0.35">
      <c r="B34" s="5" t="str">
        <f>IF(OR(Home!$D$8="",Home!$D$8="Yes"),"",IF(H34="",HLOOKUP(Home!$D$8,FRGN!$D$2:$F$73,ROW(A33),FALSE),IF(C34=FALSE,"C")))</f>
        <v/>
      </c>
      <c r="C34" s="5" t="b">
        <f>IF(H34="",TRUE,ISNUMBER(FIND("@",H34,1)+FIND(".",H34,1)))</f>
        <v>1</v>
      </c>
      <c r="D34" s="15" t="str">
        <f>IF(COUNTIF($B$4:$B$7,"R")&gt;0,"",IF(OR($H$5="Yes",$H$33="",$H$33="Fax"),"Y","R"))</f>
        <v>Y</v>
      </c>
      <c r="G34" s="9" t="str">
        <f>IF(Home!D7="Company","Email for Receiving Orders:","")</f>
        <v/>
      </c>
      <c r="H34" s="28"/>
    </row>
    <row r="35" spans="2:8" x14ac:dyDescent="0.35">
      <c r="B35" s="5" t="str">
        <f>IF(OR(Home!$D$8="",Home!$D$8="Yes"),"",IF(H35="",HLOOKUP(Home!$D$8,FRGN!$D$2:$F$73,ROW(A34),FALSE),IF(C35=FALSE,"C")))</f>
        <v/>
      </c>
      <c r="C35" s="5" t="b">
        <v>1</v>
      </c>
      <c r="D35" s="15" t="str">
        <f>IF(COUNTIF($B$4:$B$7,"R")&gt;0,"",IF(OR($H$5="Yes",$H$15="",$H$15="Foreign Individual or Study Participant"),"Y","R"))</f>
        <v>Y</v>
      </c>
      <c r="G35" s="9" t="str">
        <f>IF(Home!D7="Company","Address Line 1:","")</f>
        <v/>
      </c>
      <c r="H35" s="28"/>
    </row>
    <row r="36" spans="2:8" x14ac:dyDescent="0.35">
      <c r="B36" s="5" t="str">
        <f>IF(OR(Home!$D$8="",Home!$D$8="Yes"),"",IF(H36="",HLOOKUP(Home!$D$8,FRGN!$D$2:$F$73,ROW(A35),FALSE),IF(C36=FALSE,"C")))</f>
        <v/>
      </c>
      <c r="C36" s="5" t="b">
        <v>1</v>
      </c>
      <c r="D36" s="15" t="str">
        <f>IF(COUNTIF($B$4:$B$7,"R")&gt;0,"","Y")</f>
        <v>Y</v>
      </c>
      <c r="G36" s="9" t="str">
        <f>IF(Home!D7="Company","Address Line 2:","")</f>
        <v/>
      </c>
      <c r="H36" s="28"/>
    </row>
    <row r="37" spans="2:8" x14ac:dyDescent="0.35">
      <c r="B37" s="5" t="str">
        <f>IF(OR(Home!$D$8="",Home!$D$8="Yes"),"",IF(H37="",HLOOKUP(Home!$D$8,FRGN!$D$2:$F$73,ROW(A36),FALSE),IF(C37=FALSE,"C")))</f>
        <v/>
      </c>
      <c r="C37" s="5" t="b">
        <v>1</v>
      </c>
      <c r="D37" s="15" t="str">
        <f>IF(COUNTIF($B$4:$B$7,"R")&gt;0,"","Y")</f>
        <v>Y</v>
      </c>
      <c r="G37" s="9" t="str">
        <f>IF(Home!D7="Company","Address Line 3:","")</f>
        <v/>
      </c>
      <c r="H37" s="28"/>
    </row>
    <row r="38" spans="2:8" ht="23.25" customHeight="1" x14ac:dyDescent="0.35">
      <c r="B38" s="5" t="str">
        <f>IF(OR(Home!$D$8="",Home!$D$8="Yes"),"",IF(H38="",HLOOKUP(Home!$D$8,FRGN!$D$2:$F$73,ROW(A37),FALSE),IF(C38=FALSE,"C")))</f>
        <v/>
      </c>
      <c r="C38" s="5" t="b">
        <v>1</v>
      </c>
      <c r="D38" s="15" t="str">
        <f>IF(COUNTIF($B$4:$B$7,"R")&gt;0,"","Y")</f>
        <v>Y</v>
      </c>
      <c r="G38" s="46" t="s">
        <v>12</v>
      </c>
      <c r="H38" s="49"/>
    </row>
    <row r="39" spans="2:8" ht="43.5" x14ac:dyDescent="0.35">
      <c r="B39" s="5" t="str">
        <f>IF(OR(Home!$D$8="",Home!$D$8="Yes"),"",IF(H39="",HLOOKUP(Home!$D$8,FRGN!$D$2:$F$73,ROW(A38),FALSE),IF(C39=FALSE,"C")))</f>
        <v/>
      </c>
      <c r="C39" s="5" t="b">
        <v>1</v>
      </c>
      <c r="D39" s="15" t="str">
        <f>IF(COUNTIF($B$4:$B$7,"R")&gt;0,"",IF($H$5="Yes","Y","R"))</f>
        <v>R</v>
      </c>
      <c r="G39" s="9" t="s">
        <v>90</v>
      </c>
      <c r="H39" s="28"/>
    </row>
    <row r="40" spans="2:8" x14ac:dyDescent="0.35">
      <c r="B40" s="5" t="str">
        <f>IF(OR(Home!$D$8="",Home!$D$8="Yes"),"",IF(H40="",HLOOKUP(Home!$D$8,FRGN!$D$2:$F$73,ROW(A39),FALSE),IF(C40=FALSE,"C")))</f>
        <v/>
      </c>
      <c r="C40" s="5" t="b">
        <v>1</v>
      </c>
      <c r="D40" s="15" t="str">
        <f>IF(COUNTIF($B$4:$B$7,"R")&gt;0,"",IF(OR($H$5="Yes",Home!D7&lt;&gt;"Company"),"Y","R"))</f>
        <v>Y</v>
      </c>
      <c r="E40" s="13"/>
      <c r="F40" s="15"/>
      <c r="G40" s="9" t="str">
        <f>IF(Home!D7="Company",CONCATENATE("Emory highly encourages that your company be registered with The System for Award Management (SAM) because not doing so can preclude you as a supplier for contracts that Emory has with the U.S. government."," For additional information and to register, please visit https://www.sam.gov/"),"")</f>
        <v/>
      </c>
      <c r="H40" s="25"/>
    </row>
    <row r="41" spans="2:8" ht="29" x14ac:dyDescent="0.35">
      <c r="B41" s="5" t="str">
        <f>IF(OR(Home!$D$8="",Home!$D$8="Yes"),"",IF(H41="",HLOOKUP(Home!$D$8,FRGN!$D$2:$F$73,ROW(A40),FALSE),IF(C41=FALSE,"C")))</f>
        <v/>
      </c>
      <c r="C41" s="5" t="b">
        <v>1</v>
      </c>
      <c r="D41" s="15" t="str">
        <f>IF(COUNTIF($B$4:$B$7,"R")&gt;0,"",IF($H$5="Yes","Y","R"))</f>
        <v>R</v>
      </c>
      <c r="G41" s="9" t="s">
        <v>1043</v>
      </c>
      <c r="H41" s="28"/>
    </row>
    <row r="42" spans="2:8" ht="125.25" customHeight="1" x14ac:dyDescent="0.35">
      <c r="B42" s="5" t="str">
        <f>IF(OR(Home!$D$8="",Home!$D$8="Yes"),"",IF(H42="",HLOOKUP(Home!$D$8,FRGN!$D$2:$F$73,ROW(A41),FALSE),IF(C42=FALSE,"C")))</f>
        <v/>
      </c>
      <c r="C42" s="5" t="b">
        <v>1</v>
      </c>
      <c r="D42" s="15" t="str">
        <f>IF(COUNTIF($B$4:$B$7,"R")&gt;0,"",IF($H$5="Yes","Y","R"))</f>
        <v>R</v>
      </c>
      <c r="G42" s="9"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42" s="33"/>
    </row>
    <row r="43" spans="2:8" ht="19.5" customHeight="1" x14ac:dyDescent="0.35">
      <c r="B43" s="5" t="str">
        <f>IF(OR(Home!$D$8="",Home!$D$8="Yes"),"",IF(H43="",HLOOKUP(Home!$D$8,FRGN!$D$2:$F$73,ROW(A42),FALSE),IF(C43=FALSE,"C")))</f>
        <v/>
      </c>
      <c r="C43" s="5" t="b">
        <v>1</v>
      </c>
      <c r="D43" s="15" t="str">
        <f>IF(COUNTIF($B$4:$B$7,"R")&gt;0,"",IF($H$5="Yes","Y","R"))</f>
        <v>R</v>
      </c>
      <c r="G43" s="9" t="s">
        <v>101</v>
      </c>
      <c r="H43" s="30"/>
    </row>
    <row r="44" spans="2:8" ht="18.5" x14ac:dyDescent="0.35">
      <c r="B44" s="5" t="str">
        <f>IF(OR(Home!$D$8="",Home!$D$8="Yes"),"",IF(H44="",HLOOKUP(Home!$D$8,FRGN!$D$2:$F$73,ROW(A43),FALSE),IF(C44=FALSE,"C")))</f>
        <v/>
      </c>
      <c r="C44" s="5" t="b">
        <v>1</v>
      </c>
      <c r="D44" s="15" t="str">
        <f>IF(COUNTIF($B$4:$B$7,"R")&gt;0,"","Y")</f>
        <v>Y</v>
      </c>
      <c r="E44" s="15"/>
      <c r="F44" s="15"/>
      <c r="G44" s="46"/>
      <c r="H44" s="49"/>
    </row>
    <row r="45" spans="2:8" ht="26" x14ac:dyDescent="0.35">
      <c r="B45" s="5" t="str">
        <f>IF(OR(Home!$D$8="",Home!$D$8="Yes"),"",IF(H45="",HLOOKUP(Home!$D$8,FRGN!$D$2:$F$73,ROW(A44),FALSE),IF(C45=FALSE,"C")))</f>
        <v/>
      </c>
      <c r="C45" s="1" t="b">
        <v>1</v>
      </c>
      <c r="D45" s="15" t="str">
        <f>IF(COUNTIF($B$4:$B$7,"R")&gt;0,"",IF(OR($H$5="Yes",COUNTIF($B$4:$B$7,"R")=0),"Y",""))</f>
        <v>Y</v>
      </c>
      <c r="E45" s="16"/>
      <c r="F45" s="14"/>
      <c r="G45" s="54" t="s">
        <v>109</v>
      </c>
      <c r="H45" s="54"/>
    </row>
    <row r="46" spans="2:8" x14ac:dyDescent="0.35">
      <c r="B46" s="5" t="str">
        <f>IF(OR(Home!$D$8="",Home!$D$8="Yes"),"",IF(H46="",HLOOKUP(Home!$D$8,FRGN!$D$2:$F$73,ROW(A45),FALSE),IF(C46=FALSE,"C")))</f>
        <v/>
      </c>
      <c r="C46" s="1" t="b">
        <v>1</v>
      </c>
      <c r="D46" s="15" t="str">
        <f>IF(COUNTIF($B$4:$B$7,"R")&gt;0,"",IF(OR($H$5="Yes",COUNTIF($B$4:$B$7,"R")=0),"Y",""))</f>
        <v>Y</v>
      </c>
      <c r="E46" s="16"/>
      <c r="F46" s="14"/>
      <c r="G46" s="55" t="str">
        <f>Home!D7&amp;" Information"</f>
        <v xml:space="preserve"> Information</v>
      </c>
      <c r="H46" s="56"/>
    </row>
    <row r="47" spans="2:8" x14ac:dyDescent="0.35">
      <c r="B47" s="5" t="str">
        <f>IF(OR(Home!$D$8="",Home!$D$8="Yes"),"",IF(H47="",HLOOKUP(Home!$D$8,FRGN!$D$2:$F$73,ROW(A46),FALSE),IF(C47=FALSE,"C")))</f>
        <v/>
      </c>
      <c r="C47" s="1" t="b">
        <v>1</v>
      </c>
      <c r="D47" s="15" t="str">
        <f>IF(COUNTIF($B$4:$B$7,"R")&gt;0,"",IF(OR($H$5="Yes",COUNTIF($B$4:$B$7,"R")=0),"R",""))</f>
        <v>R</v>
      </c>
      <c r="E47" s="16"/>
      <c r="F47" s="14"/>
      <c r="G47" s="9" t="str">
        <f>Home!$D$7&amp;" Name:"</f>
        <v xml:space="preserve"> Name:</v>
      </c>
      <c r="H47" s="25"/>
    </row>
    <row r="48" spans="2:8" x14ac:dyDescent="0.35">
      <c r="B48" s="5" t="str">
        <f>IF(OR(Home!$D$8="",Home!$D$8="Yes"),"",IF(H48="",HLOOKUP(Home!$D$8,FRGN!$D$2:$F$73,ROW(A47),FALSE),IF(C48=FALSE,"C")))</f>
        <v/>
      </c>
      <c r="C48" s="1" t="b">
        <v>1</v>
      </c>
      <c r="D48" s="15" t="str">
        <f t="shared" ref="D48:D52" si="1">IF(COUNTIF($B$4:$B$7,"R")&gt;0,"",IF(OR($H$5="Yes",COUNTIF($B$4:$B$7,"R")=0),"R",""))</f>
        <v>R</v>
      </c>
      <c r="E48" s="14"/>
      <c r="F48" s="14"/>
      <c r="G48" s="9" t="s">
        <v>108</v>
      </c>
      <c r="H48" s="25"/>
    </row>
    <row r="49" spans="2:8" x14ac:dyDescent="0.35">
      <c r="B49" s="5" t="str">
        <f>IF(OR(Home!$D$8="",Home!$D$8="Yes"),"",IF(H49="",HLOOKUP(Home!$D$8,FRGN!$D$2:$F$73,ROW(A48),FALSE),IF(C49=FALSE,"C")))</f>
        <v/>
      </c>
      <c r="C49" s="1" t="b">
        <v>1</v>
      </c>
      <c r="D49" s="15" t="str">
        <f t="shared" si="1"/>
        <v>R</v>
      </c>
      <c r="E49" s="13"/>
      <c r="F49" s="13"/>
      <c r="G49" s="9" t="s">
        <v>107</v>
      </c>
      <c r="H49" s="25"/>
    </row>
    <row r="50" spans="2:8" x14ac:dyDescent="0.35">
      <c r="B50" s="5" t="str">
        <f>IF(OR(Home!$D$8="",Home!$D$8="Yes"),"",IF(H50="",HLOOKUP(Home!$D$8,FRGN!$D$2:$F$73,ROW(A49),FALSE),IF(C50=FALSE,"C")))</f>
        <v/>
      </c>
      <c r="C50" s="5" t="b">
        <v>1</v>
      </c>
      <c r="D50" s="15" t="str">
        <f t="shared" si="1"/>
        <v>R</v>
      </c>
      <c r="E50" s="16"/>
      <c r="F50" s="14"/>
      <c r="G50" s="9" t="s">
        <v>436</v>
      </c>
      <c r="H50" s="25"/>
    </row>
    <row r="51" spans="2:8" x14ac:dyDescent="0.35">
      <c r="B51" s="5" t="str">
        <f>IF(OR(Home!$D$8="",Home!$D$8="Yes"),"",IF(H51="",HLOOKUP(Home!$D$8,FRGN!$D$2:$F$73,ROW(A50),FALSE),IF(C51=FALSE,"C")))</f>
        <v/>
      </c>
      <c r="C51" s="5" t="b">
        <f>ISNUMBER(H51+0)</f>
        <v>1</v>
      </c>
      <c r="D51" s="15" t="str">
        <f t="shared" si="1"/>
        <v>R</v>
      </c>
      <c r="E51" s="16"/>
      <c r="F51" s="14"/>
      <c r="G51" s="9" t="s">
        <v>111</v>
      </c>
      <c r="H51" s="28"/>
    </row>
    <row r="52" spans="2:8" x14ac:dyDescent="0.35">
      <c r="B52" s="5" t="str">
        <f>IF(OR(Home!$D$8="",Home!$D$8="Yes"),"",IF(H52="",HLOOKUP(Home!$D$8,FRGN!$D$2:$F$73,ROW(A51),FALSE),IF(C52=FALSE,"C")))</f>
        <v/>
      </c>
      <c r="C52" s="5" t="b">
        <f>IF(H52="",TRUE,ISNUMBER(FIND("@",H52,1)+FIND(".",H52,1)))</f>
        <v>1</v>
      </c>
      <c r="D52" s="15" t="str">
        <f t="shared" si="1"/>
        <v>R</v>
      </c>
      <c r="E52" s="16"/>
      <c r="F52" s="14"/>
      <c r="G52" s="9" t="s">
        <v>112</v>
      </c>
      <c r="H52" s="26"/>
    </row>
    <row r="53" spans="2:8" x14ac:dyDescent="0.35">
      <c r="B53" s="5" t="str">
        <f>IF(OR(Home!$D$8="",Home!$D$8="Yes"),"",IF(H53="",HLOOKUP(Home!$D$8,FRGN!$D$2:$F$73,ROW(A52),FALSE),IF(C53=FALSE,"C")))</f>
        <v/>
      </c>
      <c r="C53" s="1" t="b">
        <v>1</v>
      </c>
      <c r="D53" s="15" t="str">
        <f>IF(COUNTIF($B$4:$B$7,"R")&gt;0,"",IF(OR($H$5="Yes",COUNTIF($B$4:$B$7,"R")=0),"Y",""))</f>
        <v>Y</v>
      </c>
      <c r="E53" s="16"/>
      <c r="F53" s="14"/>
      <c r="G53" s="55" t="s">
        <v>24</v>
      </c>
      <c r="H53" s="56"/>
    </row>
    <row r="54" spans="2:8" x14ac:dyDescent="0.35">
      <c r="B54" s="5" t="str">
        <f>IF(OR(Home!$D$8="",Home!$D$8="Yes"),"",IF(H54="",HLOOKUP(Home!$D$8,FRGN!$D$2:$F$73,ROW(A53),FALSE),IF(C54=FALSE,"C")))</f>
        <v/>
      </c>
      <c r="C54" s="5" t="b">
        <v>1</v>
      </c>
      <c r="D54" s="15" t="str">
        <f>IF(COUNTIF($B$4:$B$7,"R")&gt;0,"",IF(OR($H$5="Yes",COUNTIF($B$4:$B$7,"R")=0),"R",""))</f>
        <v>R</v>
      </c>
      <c r="E54" s="16"/>
      <c r="F54" s="14"/>
      <c r="G54" s="9" t="s">
        <v>102</v>
      </c>
      <c r="H54" s="25"/>
    </row>
    <row r="55" spans="2:8" x14ac:dyDescent="0.35">
      <c r="B55" s="5" t="str">
        <f>IF(OR(Home!$D$8="",Home!$D$8="Yes"),"",IF(H55="",HLOOKUP(Home!$D$8,FRGN!$D$2:$F$73,ROW(A54),FALSE),IF(C55=FALSE,"C")))</f>
        <v/>
      </c>
      <c r="C55" s="5" t="b">
        <v>1</v>
      </c>
      <c r="D55" s="15" t="str">
        <f>IF(COUNTIF($B$4:$B$7,"R")&gt;0,"",IF(OR($H$5="Yes",COUNTIF($B$4:$B$7,"R")=0),"R",""))</f>
        <v>R</v>
      </c>
      <c r="E55" s="16"/>
      <c r="F55" s="14"/>
      <c r="G55" s="9" t="s">
        <v>105</v>
      </c>
      <c r="H55" s="25"/>
    </row>
    <row r="56" spans="2:8" x14ac:dyDescent="0.35">
      <c r="B56" s="5" t="str">
        <f>IF(OR(Home!$D$8="",Home!$D$8="Yes"),"",IF(H56="",HLOOKUP(Home!$D$8,FRGN!$D$2:$F$73,ROW(A55),FALSE),IF(C56=FALSE,"C")))</f>
        <v/>
      </c>
      <c r="C56" s="5" t="b">
        <v>1</v>
      </c>
      <c r="D56" s="15" t="str">
        <f>IF(COUNTIF($B$4:$B$7,"R")&gt;0,"",IF(OR($H$5="Yes",COUNTIF($B$4:$B$7,"R")=0),"R",""))</f>
        <v>R</v>
      </c>
      <c r="E56" s="16"/>
      <c r="F56" s="14"/>
      <c r="G56" s="9" t="s">
        <v>435</v>
      </c>
      <c r="H56" s="25"/>
    </row>
    <row r="57" spans="2:8" x14ac:dyDescent="0.35">
      <c r="B57" s="5" t="str">
        <f>IF(OR(Home!$D$8="",Home!$D$8="Yes"),"",IF(H57="",HLOOKUP(Home!$D$8,FRGN!$D$2:$F$73,ROW(A56),FALSE),IF(C57=FALSE,"C")))</f>
        <v/>
      </c>
      <c r="C57" s="5" t="b">
        <f>ISNUMBER(H57+0)</f>
        <v>1</v>
      </c>
      <c r="D57" s="13" t="str">
        <f>IF(COUNTIF($B$4:$B$7,"R")&gt;0,"",IF($H$56="","Y",IF(VLOOKUP($H$56,'Drop Down'!$F$2:$G$249,2,FALSE)="Y","R","Y")))</f>
        <v>Y</v>
      </c>
      <c r="E57" s="16"/>
      <c r="F57" s="14"/>
      <c r="G57" s="9" t="s">
        <v>103</v>
      </c>
      <c r="H57" s="25"/>
    </row>
    <row r="58" spans="2:8" x14ac:dyDescent="0.35">
      <c r="B58" s="5" t="str">
        <f>IF(OR(Home!$D$8="",Home!$D$8="Yes"),"",IF(H58="",HLOOKUP(Home!$D$8,FRGN!$D$2:$F$73,ROW(A57),FALSE),IF(C58=FALSE,"C")))</f>
        <v/>
      </c>
      <c r="C58" s="5" t="b">
        <v>1</v>
      </c>
      <c r="D58" s="13" t="str">
        <f>IF(COUNTIF($B$4:$B$7,"R")&gt;0,"",IF($H$56="","Y",IF(AND(VLOOKUP($H$56,'Drop Down'!$F$2:$G$249,2,FALSE)&lt;&gt;"Y",H56&lt;&gt;""),"R","Y")))</f>
        <v>Y</v>
      </c>
      <c r="E58" s="16"/>
      <c r="F58" s="14"/>
      <c r="G58" s="9" t="s">
        <v>104</v>
      </c>
      <c r="H58" s="25"/>
    </row>
    <row r="59" spans="2:8" x14ac:dyDescent="0.35">
      <c r="B59" s="5" t="str">
        <f>IF(OR(Home!$D$8="",Home!$D$8="Yes"),"",IF(H59="",HLOOKUP(Home!$D$8,FRGN!$D$2:$F$73,ROW(A58),FALSE),IF(C59=FALSE,"C")))</f>
        <v/>
      </c>
      <c r="C59" s="5" t="b">
        <v>1</v>
      </c>
      <c r="D59" s="15" t="str">
        <f>IF(COUNTIF($B$4:$B$7,"R")&gt;0,"",IF(OR($H$5="Yes",COUNTIF($B$4:$B$7,"R")=0),"R",""))</f>
        <v>R</v>
      </c>
      <c r="E59" s="16"/>
      <c r="F59" s="14"/>
      <c r="G59" s="9" t="s">
        <v>106</v>
      </c>
      <c r="H59" s="25"/>
    </row>
    <row r="60" spans="2:8" ht="49.5" customHeight="1" x14ac:dyDescent="0.35">
      <c r="B60" s="5" t="str">
        <f>IF(OR(Home!$D$8="",Home!$D$8="Yes"),"",IF(H60="",HLOOKUP(Home!$D$8,FRGN!$D$2:$F$73,ROW(A59),FALSE),IF(C60=FALSE,"C")))</f>
        <v/>
      </c>
      <c r="C60" s="5" t="b">
        <f>IF(ISERROR(VLOOKUP(H56,'Drop Down'!$I$3:$K$83,2,FALSE)),TRUE,VLOOKUP(H56,'Drop Down'!$I$3:$K$83,2,FALSE)=LEN(H60))</f>
        <v>1</v>
      </c>
      <c r="D60" s="15" t="str">
        <f>IF(COUNTIF($B$4:$B$7,"R")&gt;0,"",IF(OR($H$5="Yes",COUNTIF($B$4:$B$7,"R")=0),"R",""))</f>
        <v>R</v>
      </c>
      <c r="E60" s="16"/>
      <c r="F60" s="14"/>
      <c r="G60" s="9" t="str">
        <f>IF(ISERROR(VLOOKUP(H56,'Drop Down'!$I$3:$K$83,1,FALSE)),"Bank Account Number:","International Bank Account Number (IBAN):"&amp;CHAR(10)&amp;VLOOKUP(H56,'Drop Down'!$I$3:$L$83,4,FALSE))</f>
        <v>Bank Account Number:</v>
      </c>
      <c r="H60" s="25"/>
    </row>
    <row r="61" spans="2:8" x14ac:dyDescent="0.35">
      <c r="B61" s="5" t="str">
        <f>IF(OR(Home!$D$8="",Home!$D$8="Yes"),"",IF(H61="",HLOOKUP(Home!$D$8,FRGN!$D$2:$F$73,ROW(A60),FALSE),IF(C61=FALSE,"C")))</f>
        <v/>
      </c>
      <c r="C61" s="5" t="b">
        <f>IF(ISERROR(VLOOKUP(H57,'Drop Down'!$I$3:$K$83,2,FALSE)),TRUE,VLOOKUP(H57,'Drop Down'!$I$3:$K$83,2,FALSE)=LEN(H61))</f>
        <v>1</v>
      </c>
      <c r="D61" s="15" t="str">
        <f>IF(COUNTIF($B$4:$B$7,"R")&gt;0,"",IF(OR($H$5="Yes",COUNTIF($B$4:$B$7,"R")=0),"R",""))</f>
        <v>R</v>
      </c>
      <c r="E61" s="16"/>
      <c r="F61" s="14"/>
      <c r="G61" s="9" t="s">
        <v>552</v>
      </c>
      <c r="H61" s="25"/>
    </row>
    <row r="62" spans="2:8" ht="65.25" customHeight="1" x14ac:dyDescent="0.35">
      <c r="B62" s="5" t="str">
        <f>IF(OR(Home!$D$8="",Home!$D$8="Yes"),"",IF(H62="",HLOOKUP(Home!$D$8,FRGN!$D$2:$F$73,ROW(A61),FALSE),IF(C62=FALSE,"C")))</f>
        <v/>
      </c>
      <c r="C62" s="5" t="b">
        <v>1</v>
      </c>
      <c r="D62" s="13" t="str">
        <f>IF(COUNTIF($B$4:$B$7,"R")&gt;0,"",IF(ISERROR(VLOOKUP(H56,'Drop Down'!$N$2:$P$16,3,FALSE)),"Y","R"))</f>
        <v>Y</v>
      </c>
      <c r="E62" s="16"/>
      <c r="F62" s="14"/>
      <c r="G62" s="9" t="str">
        <f>"Additional Information Required:"&amp;CHAR(10)&amp;IFERROR(VLOOKUP(H56,'Drop Down'!$N$2:$P$16,3,FALSE),"")</f>
        <v xml:space="preserve">Additional Information Required:
</v>
      </c>
      <c r="H62" s="25"/>
    </row>
    <row r="63" spans="2:8" x14ac:dyDescent="0.35">
      <c r="B63" s="5" t="str">
        <f>IF(OR(Home!$D$8="",Home!$D$8="Yes"),"",IF(H63="",HLOOKUP(Home!$D$8,FRGN!$D$2:$F$73,ROW(A62),FALSE),IF(C63=FALSE,"C")))</f>
        <v/>
      </c>
      <c r="C63" s="1" t="b">
        <v>1</v>
      </c>
      <c r="D63" s="15" t="str">
        <f>IF(COUNTIF($B$4:$B$7,"R")&gt;0,"",IF(OR($H$5="Yes",COUNTIF($B$4:$B$7,"R")=0),"Y",""))</f>
        <v>Y</v>
      </c>
      <c r="E63" s="16"/>
      <c r="F63" s="14"/>
      <c r="G63" s="55" t="s">
        <v>1044</v>
      </c>
      <c r="H63" s="56"/>
    </row>
    <row r="64" spans="2:8" x14ac:dyDescent="0.35">
      <c r="B64" s="5" t="str">
        <f>IF(OR(Home!$D$8="",Home!$D$8="Yes"),"",IF(H64="",HLOOKUP(Home!$D$8,FRGN!$D$2:$F$73,ROW(A63),FALSE),IF(C64=FALSE,"C")))</f>
        <v/>
      </c>
      <c r="C64" s="5" t="b">
        <v>1</v>
      </c>
      <c r="D64" s="15" t="str">
        <f>IF(COUNTIF($B$4:$B$7,"R")&gt;0,"",IF(OR($H$5="Yes",COUNTIF($B$4:$B$7,"R")=0),"R",""))</f>
        <v>R</v>
      </c>
      <c r="G64" s="9" t="s">
        <v>553</v>
      </c>
      <c r="H64" s="28"/>
    </row>
    <row r="65" spans="2:8" x14ac:dyDescent="0.35">
      <c r="B65" s="5" t="str">
        <f>IF(OR(Home!$D$8="",Home!$D$8="Yes"),"",IF(H65="",HLOOKUP(Home!$D$8,FRGN!$D$2:$F$73,ROW(A64),FALSE),IF(C65=FALSE,"C")))</f>
        <v/>
      </c>
      <c r="C65" s="1" t="b">
        <v>1</v>
      </c>
      <c r="D65" s="13" t="str">
        <f>IF(COUNTIF($B$4:$B$7,"R")&gt;0,"",IF(H64="Yes","R","Y"))</f>
        <v>Y</v>
      </c>
      <c r="E65" s="16"/>
      <c r="F65" s="14"/>
      <c r="G65" s="9" t="s">
        <v>102</v>
      </c>
      <c r="H65" s="25"/>
    </row>
    <row r="66" spans="2:8" x14ac:dyDescent="0.35">
      <c r="B66" s="5" t="str">
        <f>IF(OR(Home!$D$8="",Home!$D$8="Yes"),"",IF(H66="",HLOOKUP(Home!$D$8,FRGN!$D$2:$F$73,ROW(A65),FALSE),IF(C66=FALSE,"C")))</f>
        <v/>
      </c>
      <c r="C66" s="5" t="b">
        <f>ISNUMBER(H66+0)</f>
        <v>1</v>
      </c>
      <c r="D66" s="15" t="str">
        <f t="shared" ref="D66:D70" si="2">IF(COUNTIF($B$4:$B$7,"R")&gt;0,"",IF(OR($H$5="Yes",COUNTIF($B$4:$B$7,"R")=0),"Y",""))</f>
        <v>Y</v>
      </c>
      <c r="E66" s="16"/>
      <c r="F66" s="14"/>
      <c r="G66" s="9" t="s">
        <v>103</v>
      </c>
      <c r="H66" s="25"/>
    </row>
    <row r="67" spans="2:8" x14ac:dyDescent="0.35">
      <c r="B67" s="5" t="str">
        <f>IF(OR(Home!$D$8="",Home!$D$8="Yes"),"",IF(H67="",HLOOKUP(Home!$D$8,FRGN!$D$2:$F$73,ROW(A66),FALSE),IF(C67=FALSE,"C")))</f>
        <v/>
      </c>
      <c r="C67" s="5" t="b">
        <v>1</v>
      </c>
      <c r="D67" s="15" t="str">
        <f t="shared" si="2"/>
        <v>Y</v>
      </c>
      <c r="E67" s="16"/>
      <c r="F67" s="14"/>
      <c r="G67" s="9" t="s">
        <v>104</v>
      </c>
      <c r="H67" s="25"/>
    </row>
    <row r="68" spans="2:8" x14ac:dyDescent="0.35">
      <c r="B68" s="5" t="str">
        <f>IF(OR(Home!$D$8="",Home!$D$8="Yes"),"",IF(H68="",HLOOKUP(Home!$D$8,FRGN!$D$2:$F$73,ROW(A67),FALSE),IF(C68=FALSE,"C")))</f>
        <v/>
      </c>
      <c r="C68" s="5" t="b">
        <f>ISNUMBER(H68+0)</f>
        <v>1</v>
      </c>
      <c r="D68" s="15" t="str">
        <f t="shared" si="2"/>
        <v>Y</v>
      </c>
      <c r="E68" s="16"/>
      <c r="F68" s="14"/>
      <c r="G68" s="9" t="s">
        <v>1045</v>
      </c>
      <c r="H68" s="25"/>
    </row>
    <row r="69" spans="2:8" x14ac:dyDescent="0.35">
      <c r="B69" s="5" t="str">
        <f>IF(OR(Home!$D$8="",Home!$D$8="Yes"),"",IF(H69="",HLOOKUP(Home!$D$8,FRGN!$D$2:$F$73,ROW(A68),FALSE),IF(C69=FALSE,"C")))</f>
        <v/>
      </c>
      <c r="C69" s="1" t="b">
        <v>1</v>
      </c>
      <c r="D69" s="15" t="str">
        <f t="shared" si="2"/>
        <v>Y</v>
      </c>
      <c r="E69" s="16"/>
      <c r="F69" s="14"/>
      <c r="G69" s="55" t="str">
        <f>Home!D7&amp;" Authorization for Payment"</f>
        <v xml:space="preserve"> Authorization for Payment</v>
      </c>
      <c r="H69" s="56"/>
    </row>
    <row r="70" spans="2:8" x14ac:dyDescent="0.35">
      <c r="B70" s="5" t="str">
        <f>IF(OR(Home!$D$8="",Home!$D$8="Yes"),"",IF(H70="",HLOOKUP(Home!$D$8,FRGN!$D$2:$F$73,ROW(A69),FALSE),IF(C70=FALSE,"C")))</f>
        <v/>
      </c>
      <c r="C70" s="1" t="b">
        <v>1</v>
      </c>
      <c r="D70" s="15" t="str">
        <f t="shared" si="2"/>
        <v>Y</v>
      </c>
      <c r="E70" s="16"/>
      <c r="F70" s="14"/>
      <c r="G70" s="57" t="s">
        <v>94</v>
      </c>
      <c r="H70" s="58"/>
    </row>
    <row r="71" spans="2:8" ht="125.25" customHeight="1" x14ac:dyDescent="0.35">
      <c r="B71" s="5" t="str">
        <f>IF(OR(Home!$D$8="",Home!$D$8="Yes"),"",IF(H71="",HLOOKUP(Home!$D$8,FRGN!$D$2:$F$73,ROW(A70),FALSE),IF(C71=FALSE,"C")))</f>
        <v/>
      </c>
      <c r="C71" s="1" t="b">
        <v>1</v>
      </c>
      <c r="D71" s="15" t="str">
        <f>IF(COUNTIF($B$4:$B$7,"R")&gt;0,"",IF(OR($H$5="Yes",COUNTIF($B$4:$B$7,"R")=0),"R",""))</f>
        <v>R</v>
      </c>
      <c r="E71" s="16"/>
      <c r="F71" s="14"/>
      <c r="G71" s="9" t="str">
        <f>CONCATENATE(Home!D7," Authorized E-Signature:",CHAR(10),"(Please type your First and Last Name)",CHAR(10),"Please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f>
        <v xml:space="preserve"> Authorized E-Signature:
(Please type your First and Last Name)
Please understand that your electronic signature, E-Signature is the legal equivalent of your manual signature on this form and that by typing your name you agree to be legally bound by the statements and information provided.Your E-Signature further confirms that you are authorized to provide this information and that no certification authority or other third party verification is necessary to validate your E-Signature.</v>
      </c>
      <c r="H71" s="32"/>
    </row>
    <row r="72" spans="2:8" x14ac:dyDescent="0.35">
      <c r="B72" s="5" t="str">
        <f>IF(OR(Home!$D$8="",Home!$D$8="Yes"),"",IF(H72="",HLOOKUP(Home!$D$8,FRGN!$D$2:$F$73,ROW(A71),FALSE),IF(C72=FALSE,"C")))</f>
        <v/>
      </c>
      <c r="C72" s="1" t="b">
        <v>1</v>
      </c>
      <c r="D72" s="15" t="str">
        <f t="shared" ref="D72:D73" si="3">IF(COUNTIF($B$4:$B$7,"R")&gt;0,"",IF(OR($H$5="Yes",COUNTIF($B$4:$B$7,"R")=0),"R",""))</f>
        <v>R</v>
      </c>
      <c r="E72" s="14"/>
      <c r="F72" s="14"/>
      <c r="G72" s="9" t="s">
        <v>100</v>
      </c>
      <c r="H72" s="25"/>
    </row>
    <row r="73" spans="2:8" x14ac:dyDescent="0.35">
      <c r="B73" s="5" t="str">
        <f>IF(OR(Home!$D$8="",Home!$D$8="Yes"),"",IF(H73="",HLOOKUP(Home!$D$8,FRGN!$D$2:$F$73,ROW(A72),FALSE),IF(C73=FALSE,"C")))</f>
        <v/>
      </c>
      <c r="C73" s="1" t="b">
        <v>1</v>
      </c>
      <c r="D73" s="15" t="str">
        <f t="shared" si="3"/>
        <v>R</v>
      </c>
      <c r="E73" s="16"/>
      <c r="F73" s="14"/>
      <c r="G73" s="9" t="s">
        <v>101</v>
      </c>
      <c r="H73" s="27"/>
    </row>
  </sheetData>
  <sheetProtection algorithmName="SHA-512" hashValue="TJSi6C19nQUnAmBiV3c5OPEGYalVv/+FwbrND2JK09L8P+ziDK0x7G6ssDBv/bL+9eHxgCeWsDqZXnzjjZQ4BQ==" saltValue="OA/u5ujOwKmxap/Io8gZ8Q==" spinCount="100000" sheet="1" formatRows="0" selectLockedCells="1"/>
  <autoFilter ref="B2:F43" xr:uid="{306DB0EA-EB5A-4E84-8716-9E6116845EFE}"/>
  <mergeCells count="14">
    <mergeCell ref="G70:H70"/>
    <mergeCell ref="G45:H45"/>
    <mergeCell ref="G46:H46"/>
    <mergeCell ref="G53:H53"/>
    <mergeCell ref="G63:H63"/>
    <mergeCell ref="G69:H69"/>
    <mergeCell ref="G2:H2"/>
    <mergeCell ref="G9:H9"/>
    <mergeCell ref="G28:H28"/>
    <mergeCell ref="G38:H38"/>
    <mergeCell ref="G44:H44"/>
    <mergeCell ref="G3:H3"/>
    <mergeCell ref="G8:H8"/>
    <mergeCell ref="G32:H32"/>
  </mergeCells>
  <conditionalFormatting sqref="G2:H73">
    <cfRule type="expression" dxfId="4" priority="16">
      <formula>$B2=""</formula>
    </cfRule>
  </conditionalFormatting>
  <conditionalFormatting sqref="J2">
    <cfRule type="expression" dxfId="3" priority="120">
      <formula>$B2=""</formula>
    </cfRule>
  </conditionalFormatting>
  <conditionalFormatting sqref="G2:H2">
    <cfRule type="expression" dxfId="2" priority="134">
      <formula>LEFT($G$2,9)="Completed"</formula>
    </cfRule>
  </conditionalFormatting>
  <conditionalFormatting sqref="H4:H73">
    <cfRule type="expression" dxfId="1" priority="77">
      <formula>$B4="C"</formula>
    </cfRule>
    <cfRule type="expression" dxfId="0" priority="78">
      <formula>$B4="R"</formula>
    </cfRule>
  </conditionalFormatting>
  <dataValidations count="11">
    <dataValidation type="list" allowBlank="1" showInputMessage="1" showErrorMessage="1" sqref="H23 H64 H39 H16 H19:H20 H4:H6" xr:uid="{96B6CC90-C742-46B8-8F76-AE45CAE94D17}">
      <formula1>"Yes,No"</formula1>
    </dataValidation>
    <dataValidation type="list" allowBlank="1" showInputMessage="1" showErrorMessage="1" sqref="H15" xr:uid="{6CE3AED4-EEE1-401A-8CF7-EF5DC74689BC}">
      <formula1>"Foreign Company and a Financial Institution (FFI),Foreign Company and not a Financial Institution"</formula1>
    </dataValidation>
    <dataValidation type="list" allowBlank="1" showInputMessage="1" showErrorMessage="1" sqref="H24" xr:uid="{3EE8BBA0-387B-44A6-867D-AE64F236C276}">
      <formula1>"Entirely Outside of the United States,Entirely Inside of the United States, Partly Outside and Inside of the United States"</formula1>
    </dataValidation>
    <dataValidation type="date" allowBlank="1" showInputMessage="1" showErrorMessage="1" sqref="H26:H27" xr:uid="{0196C0F7-EB93-4EE3-96C4-56AEDC492FF5}">
      <formula1>32874</formula1>
      <formula2>767011</formula2>
    </dataValidation>
    <dataValidation type="textLength" allowBlank="1" showInputMessage="1" showErrorMessage="1" promptTitle="Routing/ABA Number" prompt="This field requires 9 digits without any special characters." sqref="H57 H66" xr:uid="{6BB981F5-1938-42AF-B99F-CEC5B10BADF9}">
      <formula1>9</formula1>
      <formula2>9</formula2>
    </dataValidation>
    <dataValidation allowBlank="1" showInputMessage="1" showErrorMessage="1" promptTitle="Bank Account Number" prompt="Double Check to ensure the bank account number is correct and fulfills the correct number of required characters if applicable." sqref="H60" xr:uid="{FD420091-525F-4D24-B041-6899A8207A4E}"/>
    <dataValidation type="list" allowBlank="1" showInputMessage="1" showErrorMessage="1" sqref="H5" xr:uid="{998C1E3E-FC5B-4140-950C-A45B48406C7F}">
      <formula1>"New,Update"</formula1>
    </dataValidation>
    <dataValidation type="list" allowBlank="1" showInputMessage="1" showErrorMessage="1" sqref="H40" xr:uid="{240F9D88-2BAF-4488-9520-CE56469F0F30}">
      <formula1>"My company is already registered with SAM,My company plans to regiser with SAM,My company does not plan to regiser with SAM"</formula1>
    </dataValidation>
    <dataValidation allowBlank="1" showInputMessage="1" showErrorMessage="1" promptTitle="Phone Number" prompt="Please do not input any special characters as part of the number. Example of special character include dashes, period, parenthesis, etc." sqref="H13 H51" xr:uid="{60C46AC4-8171-46EE-94A1-D5759D8173A8}"/>
    <dataValidation type="textLength" allowBlank="1" showInputMessage="1" showErrorMessage="1" promptTitle="DUNS Number" prompt="The DUNS Number is a Dun and Bradstreet 9 digit number with no special characters. If you do not know your DUNS number, you may look it up or request one at the following link https://www.dnb.com/duns-number.html_x000a__x000a_Input &quot;No DUNS #&quot; if cannot obtain." sqref="H17" xr:uid="{65D936D1-7B5D-453D-B67E-CF7A0F632DC1}">
      <formula1>9</formula1>
      <formula2>9</formula2>
    </dataValidation>
    <dataValidation type="list" allowBlank="1" showInputMessage="1" showErrorMessage="1" sqref="H33" xr:uid="{943D3C7B-522B-42AE-85CE-832595D87371}">
      <formula1>"Email (Plain Text Format),Email (HTML Format)"</formula1>
    </dataValidation>
  </dataValidations>
  <pageMargins left="0.7" right="0.7" top="0.75" bottom="0.75" header="0.3" footer="0.3"/>
  <pageSetup scale="64" orientation="portrait" r:id="rId1"/>
  <colBreaks count="1" manualBreakCount="1">
    <brk id="8"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1E526C-1ADD-42E5-ABFF-8706D650D4B5}">
          <x14:formula1>
            <xm:f>'Drop Down'!$F$2:$F$249</xm:f>
          </x14:formula1>
          <xm:sqref>H56 H50</xm:sqref>
        </x14:dataValidation>
        <x14:dataValidation type="list" allowBlank="1" showInputMessage="1" showErrorMessage="1" xr:uid="{C26A069F-D115-4CF1-9DEE-83937EEC24C2}">
          <x14:formula1>
            <xm:f>'Drop Down'!$U$2:$U$136</xm:f>
          </x14:formula1>
          <xm:sqref>H61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B4F5-6A23-4F9D-A6EE-AF16D7412BC3}">
  <dimension ref="B1:W249"/>
  <sheetViews>
    <sheetView showGridLines="0" workbookViewId="0"/>
  </sheetViews>
  <sheetFormatPr defaultColWidth="9.08984375" defaultRowHeight="14.5" x14ac:dyDescent="0.35"/>
  <cols>
    <col min="1" max="1" width="9.08984375" style="1"/>
    <col min="2" max="2" width="9.08984375" style="4" hidden="1" customWidth="1"/>
    <col min="3" max="3" width="3.54296875" style="1" hidden="1" customWidth="1"/>
    <col min="4" max="4" width="37.36328125" style="2" hidden="1" customWidth="1"/>
    <col min="5" max="5" width="3.453125" style="1" hidden="1" customWidth="1"/>
    <col min="6" max="6" width="42.54296875" style="1" hidden="1" customWidth="1"/>
    <col min="7" max="7" width="11.54296875" style="1" hidden="1" customWidth="1"/>
    <col min="8" max="8" width="2.6328125" style="1" hidden="1" customWidth="1"/>
    <col min="9" max="9" width="46.453125" style="1" hidden="1" customWidth="1"/>
    <col min="10" max="10" width="11.54296875" style="1" hidden="1" customWidth="1"/>
    <col min="11" max="11" width="36" style="1" hidden="1" customWidth="1"/>
    <col min="12" max="12" width="44.36328125" style="1" hidden="1" customWidth="1"/>
    <col min="13" max="13" width="9.08984375" style="1" hidden="1" customWidth="1"/>
    <col min="14" max="14" width="19.36328125" style="1" hidden="1" customWidth="1"/>
    <col min="15" max="15" width="5.54296875" style="1" hidden="1" customWidth="1"/>
    <col min="16" max="16" width="75.453125" style="1" hidden="1" customWidth="1"/>
    <col min="17" max="17" width="4.453125" style="1" hidden="1" customWidth="1"/>
    <col min="18" max="18" width="22.453125" style="1" hidden="1" customWidth="1"/>
    <col min="19" max="19" width="5.6328125" style="1" hidden="1" customWidth="1"/>
    <col min="20" max="20" width="7.54296875" style="1" hidden="1" customWidth="1"/>
    <col min="21" max="21" width="31.54296875" style="1" hidden="1" customWidth="1"/>
    <col min="22" max="23" width="9.08984375" style="1" hidden="1" customWidth="1"/>
    <col min="24" max="16384" width="9.08984375" style="1"/>
  </cols>
  <sheetData>
    <row r="1" spans="2:21" s="19" customFormat="1" x14ac:dyDescent="0.35">
      <c r="B1" s="20" t="s">
        <v>561</v>
      </c>
      <c r="D1" s="21" t="s">
        <v>562</v>
      </c>
      <c r="F1" s="19" t="s">
        <v>563</v>
      </c>
      <c r="G1" s="19" t="s">
        <v>1041</v>
      </c>
      <c r="I1" s="19" t="s">
        <v>353</v>
      </c>
      <c r="N1" s="19" t="s">
        <v>565</v>
      </c>
      <c r="R1" s="19" t="s">
        <v>570</v>
      </c>
      <c r="S1" s="19" t="s">
        <v>571</v>
      </c>
      <c r="T1" s="19" t="s">
        <v>572</v>
      </c>
      <c r="U1" s="19" t="s">
        <v>564</v>
      </c>
    </row>
    <row r="2" spans="2:21" ht="43.5" x14ac:dyDescent="0.35">
      <c r="B2" s="4" t="s">
        <v>30</v>
      </c>
      <c r="D2" s="2" t="s">
        <v>1060</v>
      </c>
      <c r="F2" s="1" t="s">
        <v>115</v>
      </c>
      <c r="I2" s="1" t="s">
        <v>110</v>
      </c>
      <c r="J2" s="1" t="s">
        <v>354</v>
      </c>
      <c r="K2" s="1" t="s">
        <v>355</v>
      </c>
      <c r="L2" s="1" t="s">
        <v>564</v>
      </c>
      <c r="N2" s="1" t="s">
        <v>125</v>
      </c>
      <c r="O2" s="1" t="s">
        <v>516</v>
      </c>
      <c r="P2" s="1" t="s">
        <v>517</v>
      </c>
      <c r="R2" s="1" t="s">
        <v>573</v>
      </c>
      <c r="S2" s="1" t="s">
        <v>574</v>
      </c>
      <c r="T2" s="1" t="s">
        <v>575</v>
      </c>
      <c r="U2" s="1" t="s">
        <v>576</v>
      </c>
    </row>
    <row r="3" spans="2:21" ht="43.5" x14ac:dyDescent="0.35">
      <c r="B3" s="4" t="s">
        <v>31</v>
      </c>
      <c r="D3" s="2" t="s">
        <v>1061</v>
      </c>
      <c r="F3" s="1" t="s">
        <v>118</v>
      </c>
      <c r="I3" s="1" t="s">
        <v>118</v>
      </c>
      <c r="J3" s="1">
        <v>28</v>
      </c>
      <c r="K3" s="1" t="s">
        <v>412</v>
      </c>
      <c r="L3" s="2" t="s">
        <v>492</v>
      </c>
      <c r="N3" s="1" t="s">
        <v>140</v>
      </c>
      <c r="O3" s="1" t="s">
        <v>519</v>
      </c>
      <c r="P3" s="2" t="s">
        <v>566</v>
      </c>
      <c r="R3" s="1" t="s">
        <v>577</v>
      </c>
      <c r="S3" s="1" t="s">
        <v>578</v>
      </c>
      <c r="T3" s="1" t="s">
        <v>579</v>
      </c>
      <c r="U3" s="1" t="s">
        <v>580</v>
      </c>
    </row>
    <row r="4" spans="2:21" ht="29" x14ac:dyDescent="0.35">
      <c r="B4" s="4" t="s">
        <v>32</v>
      </c>
      <c r="D4" s="2" t="s">
        <v>1046</v>
      </c>
      <c r="F4" s="1" t="s">
        <v>168</v>
      </c>
      <c r="I4" s="1" t="s">
        <v>113</v>
      </c>
      <c r="J4" s="1">
        <v>24</v>
      </c>
      <c r="K4" s="1" t="s">
        <v>437</v>
      </c>
      <c r="L4" s="2" t="str">
        <f>"IBAN Length Must be "&amp;J4&amp;" Characters."&amp;CHAR(10)&amp;"An IBAN example is "&amp;K4</f>
        <v>IBAN Length Must be 24 Characters.
An IBAN example is AD1200012030200359100100</v>
      </c>
      <c r="N4" s="1" t="s">
        <v>182</v>
      </c>
      <c r="O4" s="1" t="s">
        <v>551</v>
      </c>
      <c r="P4" s="1" t="s">
        <v>520</v>
      </c>
      <c r="R4" s="1" t="s">
        <v>581</v>
      </c>
      <c r="S4" s="1" t="s">
        <v>582</v>
      </c>
      <c r="T4" s="1" t="s">
        <v>583</v>
      </c>
      <c r="U4" s="1" t="s">
        <v>584</v>
      </c>
    </row>
    <row r="5" spans="2:21" ht="29" x14ac:dyDescent="0.35">
      <c r="B5" s="4" t="s">
        <v>33</v>
      </c>
      <c r="D5" s="2" t="s">
        <v>1047</v>
      </c>
      <c r="F5" s="1" t="s">
        <v>123</v>
      </c>
      <c r="G5" s="1" t="s">
        <v>22</v>
      </c>
      <c r="I5" s="1" t="s">
        <v>124</v>
      </c>
      <c r="J5" s="1">
        <v>20</v>
      </c>
      <c r="K5" s="1" t="s">
        <v>356</v>
      </c>
      <c r="L5" s="2" t="s">
        <v>438</v>
      </c>
      <c r="N5" s="1" t="s">
        <v>146</v>
      </c>
      <c r="O5" s="1" t="s">
        <v>522</v>
      </c>
      <c r="P5" s="1" t="s">
        <v>523</v>
      </c>
      <c r="R5" s="1" t="s">
        <v>585</v>
      </c>
      <c r="S5" s="1" t="s">
        <v>586</v>
      </c>
      <c r="T5" s="1" t="s">
        <v>587</v>
      </c>
      <c r="U5" s="1" t="s">
        <v>588</v>
      </c>
    </row>
    <row r="6" spans="2:21" ht="43.5" x14ac:dyDescent="0.35">
      <c r="B6" s="4" t="s">
        <v>34</v>
      </c>
      <c r="F6" s="1" t="s">
        <v>113</v>
      </c>
      <c r="I6" s="1" t="s">
        <v>127</v>
      </c>
      <c r="J6" s="1">
        <v>28</v>
      </c>
      <c r="K6" s="1" t="s">
        <v>413</v>
      </c>
      <c r="L6" s="2" t="s">
        <v>493</v>
      </c>
      <c r="N6" s="1" t="s">
        <v>195</v>
      </c>
      <c r="O6" s="1" t="s">
        <v>524</v>
      </c>
      <c r="P6" s="1" t="s">
        <v>525</v>
      </c>
      <c r="R6" s="1" t="s">
        <v>589</v>
      </c>
      <c r="S6" s="1" t="s">
        <v>590</v>
      </c>
      <c r="T6" s="1" t="s">
        <v>575</v>
      </c>
      <c r="U6" s="1" t="s">
        <v>591</v>
      </c>
    </row>
    <row r="7" spans="2:21" ht="29" x14ac:dyDescent="0.35">
      <c r="B7" s="4" t="s">
        <v>35</v>
      </c>
      <c r="F7" s="1" t="s">
        <v>120</v>
      </c>
      <c r="I7" s="1" t="s">
        <v>133</v>
      </c>
      <c r="J7" s="1">
        <v>22</v>
      </c>
      <c r="K7" s="1" t="s">
        <v>357</v>
      </c>
      <c r="L7" s="2" t="s">
        <v>439</v>
      </c>
      <c r="N7" s="1" t="s">
        <v>209</v>
      </c>
      <c r="O7" s="1" t="s">
        <v>527</v>
      </c>
      <c r="P7" s="2" t="s">
        <v>569</v>
      </c>
      <c r="R7" s="1" t="s">
        <v>515</v>
      </c>
      <c r="S7" s="1" t="s">
        <v>516</v>
      </c>
      <c r="T7" s="1" t="s">
        <v>575</v>
      </c>
      <c r="U7" s="1" t="s">
        <v>592</v>
      </c>
    </row>
    <row r="8" spans="2:21" ht="43.5" x14ac:dyDescent="0.35">
      <c r="B8" s="4" t="s">
        <v>36</v>
      </c>
      <c r="F8" s="1" t="s">
        <v>117</v>
      </c>
      <c r="I8" s="1" t="s">
        <v>144</v>
      </c>
      <c r="J8" s="1">
        <v>28</v>
      </c>
      <c r="K8" s="1" t="s">
        <v>414</v>
      </c>
      <c r="L8" s="2" t="s">
        <v>494</v>
      </c>
      <c r="N8" s="1" t="s">
        <v>207</v>
      </c>
      <c r="O8" s="1" t="s">
        <v>529</v>
      </c>
      <c r="P8" s="2" t="s">
        <v>568</v>
      </c>
      <c r="R8" s="1" t="s">
        <v>593</v>
      </c>
      <c r="S8" s="1" t="s">
        <v>594</v>
      </c>
      <c r="T8" s="1" t="s">
        <v>595</v>
      </c>
      <c r="U8" s="1" t="s">
        <v>596</v>
      </c>
    </row>
    <row r="9" spans="2:21" ht="43.5" x14ac:dyDescent="0.35">
      <c r="B9" s="4" t="s">
        <v>1052</v>
      </c>
      <c r="F9" s="1" t="s">
        <v>121</v>
      </c>
      <c r="I9" s="1" t="s">
        <v>130</v>
      </c>
      <c r="J9" s="1">
        <v>16</v>
      </c>
      <c r="K9" s="1" t="s">
        <v>358</v>
      </c>
      <c r="L9" s="2" t="s">
        <v>440</v>
      </c>
      <c r="N9" s="1" t="s">
        <v>396</v>
      </c>
      <c r="P9" s="2" t="s">
        <v>567</v>
      </c>
      <c r="R9" s="1" t="s">
        <v>597</v>
      </c>
      <c r="S9" s="1" t="s">
        <v>598</v>
      </c>
      <c r="T9" s="1" t="s">
        <v>598</v>
      </c>
      <c r="U9" s="1" t="s">
        <v>599</v>
      </c>
    </row>
    <row r="10" spans="2:21" ht="29" x14ac:dyDescent="0.35">
      <c r="B10" s="4" t="s">
        <v>37</v>
      </c>
      <c r="F10" s="1" t="s">
        <v>116</v>
      </c>
      <c r="I10" s="1" t="s">
        <v>359</v>
      </c>
      <c r="J10" s="1">
        <v>20</v>
      </c>
      <c r="K10" s="1" t="s">
        <v>360</v>
      </c>
      <c r="L10" s="2" t="s">
        <v>441</v>
      </c>
      <c r="N10" s="1" t="s">
        <v>219</v>
      </c>
      <c r="O10" s="1" t="s">
        <v>530</v>
      </c>
      <c r="P10" s="2" t="s">
        <v>550</v>
      </c>
      <c r="R10" s="1" t="s">
        <v>600</v>
      </c>
      <c r="S10" s="1" t="s">
        <v>601</v>
      </c>
      <c r="T10" s="1" t="s">
        <v>602</v>
      </c>
      <c r="U10" s="1" t="s">
        <v>603</v>
      </c>
    </row>
    <row r="11" spans="2:21" ht="43.5" x14ac:dyDescent="0.35">
      <c r="B11" s="4" t="s">
        <v>38</v>
      </c>
      <c r="F11" s="1" t="s">
        <v>122</v>
      </c>
      <c r="I11" s="1" t="s">
        <v>140</v>
      </c>
      <c r="J11" s="1">
        <v>29</v>
      </c>
      <c r="K11" s="1" t="s">
        <v>415</v>
      </c>
      <c r="L11" s="2" t="s">
        <v>495</v>
      </c>
      <c r="N11" s="18" t="s">
        <v>549</v>
      </c>
      <c r="O11" s="1" t="s">
        <v>533</v>
      </c>
      <c r="P11" s="1" t="s">
        <v>534</v>
      </c>
      <c r="R11" s="1" t="s">
        <v>604</v>
      </c>
      <c r="S11" s="1" t="s">
        <v>605</v>
      </c>
      <c r="T11" s="1" t="s">
        <v>606</v>
      </c>
      <c r="U11" s="1" t="s">
        <v>607</v>
      </c>
    </row>
    <row r="12" spans="2:21" ht="29" x14ac:dyDescent="0.35">
      <c r="B12" s="4" t="s">
        <v>39</v>
      </c>
      <c r="F12" s="1" t="s">
        <v>119</v>
      </c>
      <c r="I12" s="1" t="s">
        <v>132</v>
      </c>
      <c r="J12" s="1">
        <v>22</v>
      </c>
      <c r="K12" s="1" t="s">
        <v>361</v>
      </c>
      <c r="L12" s="2" t="s">
        <v>442</v>
      </c>
      <c r="N12" s="1" t="s">
        <v>259</v>
      </c>
      <c r="O12" s="1" t="s">
        <v>536</v>
      </c>
      <c r="P12" s="1" t="s">
        <v>537</v>
      </c>
      <c r="R12" s="1" t="s">
        <v>608</v>
      </c>
      <c r="S12" s="1" t="s">
        <v>609</v>
      </c>
      <c r="T12" s="1" t="s">
        <v>610</v>
      </c>
      <c r="U12" s="1" t="s">
        <v>611</v>
      </c>
    </row>
    <row r="13" spans="2:21" ht="29" x14ac:dyDescent="0.35">
      <c r="B13" s="4" t="s">
        <v>40</v>
      </c>
      <c r="F13" s="1" t="s">
        <v>126</v>
      </c>
      <c r="I13" s="1" t="s">
        <v>156</v>
      </c>
      <c r="J13" s="1">
        <v>21</v>
      </c>
      <c r="K13" s="1" t="s">
        <v>416</v>
      </c>
      <c r="L13" s="2" t="s">
        <v>496</v>
      </c>
      <c r="N13" s="1" t="s">
        <v>350</v>
      </c>
      <c r="O13" s="1" t="s">
        <v>539</v>
      </c>
      <c r="P13" s="2" t="s">
        <v>548</v>
      </c>
      <c r="R13" s="1" t="s">
        <v>612</v>
      </c>
      <c r="S13" s="1" t="s">
        <v>613</v>
      </c>
      <c r="T13" s="1" t="s">
        <v>614</v>
      </c>
      <c r="U13" s="1" t="s">
        <v>615</v>
      </c>
    </row>
    <row r="14" spans="2:21" ht="29" x14ac:dyDescent="0.35">
      <c r="B14" s="4" t="s">
        <v>41</v>
      </c>
      <c r="F14" s="1" t="s">
        <v>125</v>
      </c>
      <c r="I14" s="1" t="s">
        <v>202</v>
      </c>
      <c r="J14" s="1">
        <v>21</v>
      </c>
      <c r="K14" s="1" t="s">
        <v>362</v>
      </c>
      <c r="L14" s="2" t="s">
        <v>443</v>
      </c>
      <c r="N14" s="1" t="s">
        <v>331</v>
      </c>
      <c r="O14" s="1" t="s">
        <v>541</v>
      </c>
      <c r="P14" s="1" t="s">
        <v>531</v>
      </c>
      <c r="R14" s="1" t="s">
        <v>616</v>
      </c>
      <c r="S14" s="1" t="s">
        <v>617</v>
      </c>
      <c r="T14" s="1" t="s">
        <v>618</v>
      </c>
      <c r="U14" s="1" t="s">
        <v>619</v>
      </c>
    </row>
    <row r="15" spans="2:21" ht="43.5" x14ac:dyDescent="0.35">
      <c r="B15" s="4" t="s">
        <v>42</v>
      </c>
      <c r="F15" s="1" t="s">
        <v>124</v>
      </c>
      <c r="I15" s="1" t="s">
        <v>161</v>
      </c>
      <c r="J15" s="1">
        <v>28</v>
      </c>
      <c r="K15" s="1" t="s">
        <v>363</v>
      </c>
      <c r="L15" s="2" t="s">
        <v>444</v>
      </c>
      <c r="N15" s="1" t="s">
        <v>321</v>
      </c>
      <c r="O15" s="1" t="s">
        <v>543</v>
      </c>
      <c r="P15" s="1" t="s">
        <v>544</v>
      </c>
      <c r="R15" s="1" t="s">
        <v>620</v>
      </c>
      <c r="S15" s="1" t="s">
        <v>621</v>
      </c>
      <c r="T15" s="1" t="s">
        <v>622</v>
      </c>
      <c r="U15" s="1" t="s">
        <v>623</v>
      </c>
    </row>
    <row r="16" spans="2:21" ht="29" x14ac:dyDescent="0.35">
      <c r="B16" s="4" t="s">
        <v>43</v>
      </c>
      <c r="F16" s="1" t="s">
        <v>127</v>
      </c>
      <c r="I16" s="1" t="s">
        <v>162</v>
      </c>
      <c r="J16" s="1">
        <v>24</v>
      </c>
      <c r="K16" s="1" t="s">
        <v>364</v>
      </c>
      <c r="L16" s="2" t="s">
        <v>445</v>
      </c>
      <c r="N16" s="1" t="s">
        <v>352</v>
      </c>
      <c r="O16" s="1" t="s">
        <v>546</v>
      </c>
      <c r="P16" s="2" t="s">
        <v>547</v>
      </c>
      <c r="R16" s="1" t="s">
        <v>624</v>
      </c>
      <c r="S16" s="1" t="s">
        <v>625</v>
      </c>
      <c r="T16" s="1" t="s">
        <v>626</v>
      </c>
      <c r="U16" s="1" t="s">
        <v>627</v>
      </c>
    </row>
    <row r="17" spans="2:21" ht="29" x14ac:dyDescent="0.35">
      <c r="B17" s="4" t="s">
        <v>44</v>
      </c>
      <c r="F17" s="1" t="s">
        <v>556</v>
      </c>
      <c r="I17" s="1" t="s">
        <v>165</v>
      </c>
      <c r="J17" s="1">
        <v>18</v>
      </c>
      <c r="K17" s="1" t="s">
        <v>365</v>
      </c>
      <c r="L17" s="2" t="s">
        <v>446</v>
      </c>
      <c r="R17" s="1" t="s">
        <v>518</v>
      </c>
      <c r="S17" s="1" t="s">
        <v>519</v>
      </c>
      <c r="T17" s="1" t="s">
        <v>628</v>
      </c>
      <c r="U17" s="1" t="s">
        <v>629</v>
      </c>
    </row>
    <row r="18" spans="2:21" ht="43.5" x14ac:dyDescent="0.35">
      <c r="B18" s="4" t="s">
        <v>45</v>
      </c>
      <c r="F18" s="1" t="s">
        <v>133</v>
      </c>
      <c r="I18" s="1" t="s">
        <v>167</v>
      </c>
      <c r="J18" s="1">
        <v>28</v>
      </c>
      <c r="K18" s="1" t="s">
        <v>417</v>
      </c>
      <c r="L18" s="2" t="s">
        <v>497</v>
      </c>
      <c r="R18" s="1" t="s">
        <v>630</v>
      </c>
      <c r="S18" s="1" t="s">
        <v>631</v>
      </c>
      <c r="T18" s="1" t="s">
        <v>622</v>
      </c>
      <c r="U18" s="1" t="s">
        <v>632</v>
      </c>
    </row>
    <row r="19" spans="2:21" ht="29" x14ac:dyDescent="0.35">
      <c r="B19" s="4" t="s">
        <v>46</v>
      </c>
      <c r="F19" s="1" t="s">
        <v>129</v>
      </c>
      <c r="I19" s="1" t="s">
        <v>170</v>
      </c>
      <c r="J19" s="1">
        <v>20</v>
      </c>
      <c r="K19" s="1" t="s">
        <v>366</v>
      </c>
      <c r="L19" s="2" t="s">
        <v>447</v>
      </c>
      <c r="R19" s="1" t="s">
        <v>633</v>
      </c>
      <c r="S19" s="1" t="s">
        <v>634</v>
      </c>
      <c r="T19" s="1" t="s">
        <v>635</v>
      </c>
      <c r="U19" s="1" t="s">
        <v>636</v>
      </c>
    </row>
    <row r="20" spans="2:21" ht="29" x14ac:dyDescent="0.35">
      <c r="B20" s="4" t="s">
        <v>47</v>
      </c>
      <c r="F20" s="1" t="s">
        <v>128</v>
      </c>
      <c r="I20" s="1" t="s">
        <v>179</v>
      </c>
      <c r="J20" s="1">
        <v>18</v>
      </c>
      <c r="K20" s="1" t="s">
        <v>367</v>
      </c>
      <c r="L20" s="2" t="s">
        <v>448</v>
      </c>
      <c r="R20" s="1" t="s">
        <v>637</v>
      </c>
      <c r="S20" s="1" t="s">
        <v>638</v>
      </c>
      <c r="T20" s="1" t="s">
        <v>639</v>
      </c>
      <c r="U20" s="1" t="s">
        <v>640</v>
      </c>
    </row>
    <row r="21" spans="2:21" ht="29" x14ac:dyDescent="0.35">
      <c r="B21" s="4" t="s">
        <v>48</v>
      </c>
      <c r="F21" s="1" t="s">
        <v>144</v>
      </c>
      <c r="I21" s="1" t="s">
        <v>176</v>
      </c>
      <c r="J21" s="1">
        <v>18</v>
      </c>
      <c r="K21" s="1" t="s">
        <v>368</v>
      </c>
      <c r="L21" s="2" t="s">
        <v>449</v>
      </c>
      <c r="R21" s="1" t="s">
        <v>641</v>
      </c>
      <c r="S21" s="1" t="s">
        <v>642</v>
      </c>
      <c r="T21" s="1" t="s">
        <v>643</v>
      </c>
      <c r="U21" s="1" t="s">
        <v>644</v>
      </c>
    </row>
    <row r="22" spans="2:21" ht="43.5" x14ac:dyDescent="0.35">
      <c r="B22" s="4" t="s">
        <v>49</v>
      </c>
      <c r="F22" s="1" t="s">
        <v>130</v>
      </c>
      <c r="I22" s="1" t="s">
        <v>180</v>
      </c>
      <c r="J22" s="1">
        <v>27</v>
      </c>
      <c r="K22" s="1" t="s">
        <v>369</v>
      </c>
      <c r="L22" s="2" t="s">
        <v>450</v>
      </c>
      <c r="R22" s="1" t="s">
        <v>645</v>
      </c>
      <c r="S22" s="1" t="s">
        <v>646</v>
      </c>
      <c r="T22" s="1" t="s">
        <v>647</v>
      </c>
      <c r="U22" s="1" t="s">
        <v>648</v>
      </c>
    </row>
    <row r="23" spans="2:21" ht="29" x14ac:dyDescent="0.35">
      <c r="B23" s="4" t="s">
        <v>50</v>
      </c>
      <c r="F23" s="1" t="s">
        <v>145</v>
      </c>
      <c r="I23" s="1" t="s">
        <v>184</v>
      </c>
      <c r="J23" s="1">
        <v>22</v>
      </c>
      <c r="K23" s="1" t="s">
        <v>370</v>
      </c>
      <c r="L23" s="2" t="s">
        <v>451</v>
      </c>
      <c r="R23" s="1" t="s">
        <v>521</v>
      </c>
      <c r="S23" s="1" t="s">
        <v>649</v>
      </c>
      <c r="T23" s="1" t="s">
        <v>650</v>
      </c>
      <c r="U23" s="1" t="s">
        <v>651</v>
      </c>
    </row>
    <row r="24" spans="2:21" ht="29" x14ac:dyDescent="0.35">
      <c r="B24" s="4" t="s">
        <v>51</v>
      </c>
      <c r="F24" s="1" t="s">
        <v>135</v>
      </c>
      <c r="I24" s="1" t="s">
        <v>163</v>
      </c>
      <c r="J24" s="1">
        <v>22</v>
      </c>
      <c r="K24" s="1" t="s">
        <v>371</v>
      </c>
      <c r="L24" s="2" t="s">
        <v>452</v>
      </c>
      <c r="R24" s="1" t="s">
        <v>652</v>
      </c>
      <c r="S24" s="1" t="s">
        <v>653</v>
      </c>
      <c r="T24" s="1" t="s">
        <v>653</v>
      </c>
      <c r="U24" s="1" t="s">
        <v>654</v>
      </c>
    </row>
    <row r="25" spans="2:21" ht="29" x14ac:dyDescent="0.35">
      <c r="B25" s="4" t="s">
        <v>52</v>
      </c>
      <c r="F25" s="1" t="s">
        <v>137</v>
      </c>
      <c r="I25" s="1" t="s">
        <v>188</v>
      </c>
      <c r="J25" s="1">
        <v>23</v>
      </c>
      <c r="K25" s="1" t="s">
        <v>372</v>
      </c>
      <c r="L25" s="2" t="s">
        <v>453</v>
      </c>
      <c r="R25" s="1" t="s">
        <v>655</v>
      </c>
      <c r="S25" s="1" t="s">
        <v>656</v>
      </c>
      <c r="T25" s="1" t="s">
        <v>575</v>
      </c>
      <c r="U25" s="1" t="s">
        <v>657</v>
      </c>
    </row>
    <row r="26" spans="2:21" ht="43.5" x14ac:dyDescent="0.35">
      <c r="B26" s="4" t="s">
        <v>53</v>
      </c>
      <c r="F26" s="1" t="s">
        <v>141</v>
      </c>
      <c r="I26" s="1" t="s">
        <v>193</v>
      </c>
      <c r="J26" s="1">
        <v>27</v>
      </c>
      <c r="K26" s="1" t="s">
        <v>374</v>
      </c>
      <c r="L26" s="2" t="s">
        <v>455</v>
      </c>
      <c r="R26" s="1" t="s">
        <v>658</v>
      </c>
      <c r="S26" s="1" t="s">
        <v>659</v>
      </c>
      <c r="T26" s="1" t="s">
        <v>660</v>
      </c>
      <c r="U26" s="1" t="s">
        <v>661</v>
      </c>
    </row>
    <row r="27" spans="2:21" ht="29" x14ac:dyDescent="0.35">
      <c r="B27" s="4" t="s">
        <v>54</v>
      </c>
      <c r="F27" s="1" t="s">
        <v>139</v>
      </c>
      <c r="I27" s="1" t="s">
        <v>189</v>
      </c>
      <c r="J27" s="1">
        <v>18</v>
      </c>
      <c r="K27" s="1" t="s">
        <v>375</v>
      </c>
      <c r="L27" s="2" t="s">
        <v>456</v>
      </c>
      <c r="R27" s="1" t="s">
        <v>662</v>
      </c>
      <c r="S27" s="1" t="s">
        <v>663</v>
      </c>
      <c r="T27" s="1" t="s">
        <v>575</v>
      </c>
      <c r="U27" s="1" t="s">
        <v>664</v>
      </c>
    </row>
    <row r="28" spans="2:21" ht="43.5" x14ac:dyDescent="0.35">
      <c r="B28" s="4" t="s">
        <v>55</v>
      </c>
      <c r="F28" s="1" t="s">
        <v>359</v>
      </c>
      <c r="I28" s="1" t="s">
        <v>195</v>
      </c>
      <c r="J28" s="1">
        <v>28</v>
      </c>
      <c r="K28" s="1" t="s">
        <v>418</v>
      </c>
      <c r="L28" s="2" t="s">
        <v>498</v>
      </c>
      <c r="R28" s="1" t="s">
        <v>665</v>
      </c>
      <c r="S28" s="1" t="s">
        <v>666</v>
      </c>
      <c r="T28" s="1" t="s">
        <v>667</v>
      </c>
      <c r="U28" s="1" t="s">
        <v>668</v>
      </c>
    </row>
    <row r="29" spans="2:21" ht="29" x14ac:dyDescent="0.35">
      <c r="B29" s="4" t="s">
        <v>56</v>
      </c>
      <c r="F29" s="1" t="s">
        <v>143</v>
      </c>
      <c r="I29" s="1" t="s">
        <v>186</v>
      </c>
      <c r="J29" s="1">
        <v>22</v>
      </c>
      <c r="K29" s="1" t="s">
        <v>376</v>
      </c>
      <c r="L29" s="2" t="s">
        <v>457</v>
      </c>
      <c r="R29" s="1" t="s">
        <v>669</v>
      </c>
      <c r="S29" s="1" t="s">
        <v>670</v>
      </c>
      <c r="T29" s="1" t="s">
        <v>671</v>
      </c>
      <c r="U29" s="1" t="s">
        <v>672</v>
      </c>
    </row>
    <row r="30" spans="2:21" ht="29" x14ac:dyDescent="0.35">
      <c r="B30" s="4" t="s">
        <v>57</v>
      </c>
      <c r="F30" s="1" t="s">
        <v>142</v>
      </c>
      <c r="I30" s="1" t="s">
        <v>338</v>
      </c>
      <c r="J30" s="1">
        <v>22</v>
      </c>
      <c r="K30" s="1" t="s">
        <v>432</v>
      </c>
      <c r="L30" s="2" t="s">
        <v>512</v>
      </c>
      <c r="R30" s="1" t="s">
        <v>673</v>
      </c>
      <c r="S30" s="1" t="s">
        <v>674</v>
      </c>
      <c r="T30" s="1" t="s">
        <v>675</v>
      </c>
      <c r="U30" s="1" t="s">
        <v>676</v>
      </c>
    </row>
    <row r="31" spans="2:21" ht="43.5" x14ac:dyDescent="0.35">
      <c r="B31" s="4" t="s">
        <v>58</v>
      </c>
      <c r="F31" s="1" t="s">
        <v>140</v>
      </c>
      <c r="I31" s="1" t="s">
        <v>204</v>
      </c>
      <c r="J31" s="1">
        <v>28</v>
      </c>
      <c r="K31" s="1" t="s">
        <v>377</v>
      </c>
      <c r="L31" s="2" t="s">
        <v>458</v>
      </c>
      <c r="R31" s="1" t="s">
        <v>677</v>
      </c>
      <c r="S31" s="1" t="s">
        <v>678</v>
      </c>
      <c r="T31" s="1" t="s">
        <v>679</v>
      </c>
      <c r="U31" s="1" t="s">
        <v>680</v>
      </c>
    </row>
    <row r="32" spans="2:21" ht="29" x14ac:dyDescent="0.35">
      <c r="B32" s="4" t="s">
        <v>59</v>
      </c>
      <c r="F32" s="1" t="s">
        <v>210</v>
      </c>
      <c r="I32" s="1" t="s">
        <v>213</v>
      </c>
      <c r="J32" s="1">
        <v>26</v>
      </c>
      <c r="K32" s="1" t="s">
        <v>378</v>
      </c>
      <c r="L32" s="2" t="s">
        <v>459</v>
      </c>
      <c r="R32" s="1" t="s">
        <v>681</v>
      </c>
      <c r="S32" s="1" t="s">
        <v>682</v>
      </c>
      <c r="T32" s="1" t="s">
        <v>683</v>
      </c>
      <c r="U32" s="1" t="s">
        <v>684</v>
      </c>
    </row>
    <row r="33" spans="2:21" ht="29" x14ac:dyDescent="0.35">
      <c r="B33" s="4" t="s">
        <v>60</v>
      </c>
      <c r="F33" s="1" t="s">
        <v>341</v>
      </c>
      <c r="I33" s="1" t="s">
        <v>212</v>
      </c>
      <c r="J33" s="1">
        <v>26</v>
      </c>
      <c r="K33" s="1" t="s">
        <v>420</v>
      </c>
      <c r="L33" s="2" t="s">
        <v>500</v>
      </c>
      <c r="R33" s="1" t="s">
        <v>685</v>
      </c>
      <c r="S33" s="1" t="s">
        <v>686</v>
      </c>
      <c r="T33" s="1" t="s">
        <v>687</v>
      </c>
      <c r="U33" s="1" t="s">
        <v>688</v>
      </c>
    </row>
    <row r="34" spans="2:21" ht="29" x14ac:dyDescent="0.35">
      <c r="B34" s="4" t="s">
        <v>61</v>
      </c>
      <c r="F34" s="1" t="s">
        <v>138</v>
      </c>
      <c r="I34" s="1" t="s">
        <v>211</v>
      </c>
      <c r="J34" s="1">
        <v>23</v>
      </c>
      <c r="K34" s="1" t="s">
        <v>419</v>
      </c>
      <c r="L34" s="2" t="s">
        <v>499</v>
      </c>
      <c r="R34" s="1" t="s">
        <v>689</v>
      </c>
      <c r="S34" s="1" t="s">
        <v>690</v>
      </c>
      <c r="T34" s="1" t="s">
        <v>691</v>
      </c>
      <c r="U34" s="1" t="s">
        <v>692</v>
      </c>
    </row>
    <row r="35" spans="2:21" ht="29" x14ac:dyDescent="0.35">
      <c r="B35" s="4" t="s">
        <v>62</v>
      </c>
      <c r="F35" s="1" t="s">
        <v>132</v>
      </c>
      <c r="I35" s="1" t="s">
        <v>206</v>
      </c>
      <c r="J35" s="1">
        <v>22</v>
      </c>
      <c r="K35" s="1" t="s">
        <v>379</v>
      </c>
      <c r="L35" s="2" t="s">
        <v>460</v>
      </c>
      <c r="R35" s="1" t="s">
        <v>693</v>
      </c>
      <c r="S35" s="1" t="s">
        <v>694</v>
      </c>
      <c r="T35" s="1" t="s">
        <v>695</v>
      </c>
      <c r="U35" s="1" t="s">
        <v>696</v>
      </c>
    </row>
    <row r="36" spans="2:21" ht="43.5" x14ac:dyDescent="0.35">
      <c r="B36" s="4" t="s">
        <v>63</v>
      </c>
      <c r="F36" s="1" t="s">
        <v>131</v>
      </c>
      <c r="I36" s="1" t="s">
        <v>208</v>
      </c>
      <c r="J36" s="1">
        <v>22</v>
      </c>
      <c r="K36" s="1" t="s">
        <v>376</v>
      </c>
      <c r="L36" s="2" t="s">
        <v>555</v>
      </c>
      <c r="R36" s="1" t="s">
        <v>697</v>
      </c>
      <c r="S36" s="1" t="s">
        <v>698</v>
      </c>
      <c r="T36" s="1" t="s">
        <v>698</v>
      </c>
      <c r="U36" s="1" t="s">
        <v>699</v>
      </c>
    </row>
    <row r="37" spans="2:21" ht="29" x14ac:dyDescent="0.35">
      <c r="B37" s="4" t="s">
        <v>64</v>
      </c>
      <c r="F37" s="1" t="s">
        <v>248</v>
      </c>
      <c r="I37" s="1" t="s">
        <v>207</v>
      </c>
      <c r="J37" s="1">
        <v>23</v>
      </c>
      <c r="K37" s="1" t="s">
        <v>421</v>
      </c>
      <c r="L37" s="2" t="s">
        <v>501</v>
      </c>
      <c r="R37" s="1" t="s">
        <v>700</v>
      </c>
      <c r="S37" s="1" t="s">
        <v>701</v>
      </c>
      <c r="T37" s="1" t="s">
        <v>702</v>
      </c>
      <c r="U37" s="1" t="s">
        <v>703</v>
      </c>
    </row>
    <row r="38" spans="2:21" ht="43.5" x14ac:dyDescent="0.35">
      <c r="B38" s="4" t="s">
        <v>65</v>
      </c>
      <c r="F38" s="1" t="s">
        <v>134</v>
      </c>
      <c r="I38" s="1" t="s">
        <v>214</v>
      </c>
      <c r="J38" s="1">
        <v>27</v>
      </c>
      <c r="K38" s="1" t="s">
        <v>380</v>
      </c>
      <c r="L38" s="2" t="s">
        <v>461</v>
      </c>
      <c r="R38" s="1" t="s">
        <v>704</v>
      </c>
      <c r="S38" s="1" t="s">
        <v>705</v>
      </c>
      <c r="T38" s="1" t="s">
        <v>643</v>
      </c>
      <c r="U38" s="1" t="s">
        <v>706</v>
      </c>
    </row>
    <row r="39" spans="2:21" ht="43.5" x14ac:dyDescent="0.35">
      <c r="B39" s="4" t="s">
        <v>66</v>
      </c>
      <c r="F39" s="1" t="s">
        <v>221</v>
      </c>
      <c r="I39" s="1" t="s">
        <v>215</v>
      </c>
      <c r="J39" s="1">
        <v>22</v>
      </c>
      <c r="K39" s="1" t="s">
        <v>376</v>
      </c>
      <c r="L39" s="2" t="s">
        <v>554</v>
      </c>
      <c r="R39" s="1" t="s">
        <v>707</v>
      </c>
      <c r="S39" s="1" t="s">
        <v>708</v>
      </c>
      <c r="T39" s="1" t="s">
        <v>709</v>
      </c>
      <c r="U39" s="1" t="s">
        <v>710</v>
      </c>
    </row>
    <row r="40" spans="2:21" ht="43.5" x14ac:dyDescent="0.35">
      <c r="B40" s="4" t="s">
        <v>67</v>
      </c>
      <c r="F40" s="1" t="s">
        <v>153</v>
      </c>
      <c r="I40" s="1" t="s">
        <v>217</v>
      </c>
      <c r="J40" s="1">
        <v>30</v>
      </c>
      <c r="K40" s="1" t="s">
        <v>381</v>
      </c>
      <c r="L40" s="2" t="s">
        <v>462</v>
      </c>
      <c r="R40" s="1" t="s">
        <v>711</v>
      </c>
      <c r="S40" s="1" t="s">
        <v>712</v>
      </c>
      <c r="T40" s="1" t="s">
        <v>713</v>
      </c>
      <c r="U40" s="1" t="s">
        <v>714</v>
      </c>
    </row>
    <row r="41" spans="2:21" ht="29" x14ac:dyDescent="0.35">
      <c r="B41" s="4" t="s">
        <v>1053</v>
      </c>
      <c r="F41" s="1" t="s">
        <v>146</v>
      </c>
      <c r="I41" s="1" t="s">
        <v>227</v>
      </c>
      <c r="J41" s="1">
        <v>20</v>
      </c>
      <c r="K41" s="1" t="s">
        <v>382</v>
      </c>
      <c r="L41" s="2" t="s">
        <v>463</v>
      </c>
      <c r="R41" s="1" t="s">
        <v>715</v>
      </c>
      <c r="S41" s="1" t="s">
        <v>716</v>
      </c>
      <c r="T41" s="1" t="s">
        <v>717</v>
      </c>
      <c r="U41" s="1" t="s">
        <v>718</v>
      </c>
    </row>
    <row r="42" spans="2:21" ht="29" x14ac:dyDescent="0.35">
      <c r="B42" s="4" t="s">
        <v>68</v>
      </c>
      <c r="F42" s="1" t="s">
        <v>158</v>
      </c>
      <c r="I42" s="1" t="s">
        <v>227</v>
      </c>
      <c r="J42" s="1">
        <v>20</v>
      </c>
      <c r="K42" s="1" t="s">
        <v>422</v>
      </c>
      <c r="L42" s="2" t="s">
        <v>502</v>
      </c>
      <c r="R42" s="1" t="s">
        <v>719</v>
      </c>
      <c r="S42" s="1" t="s">
        <v>551</v>
      </c>
      <c r="T42" s="1" t="s">
        <v>717</v>
      </c>
      <c r="U42" s="1" t="s">
        <v>720</v>
      </c>
    </row>
    <row r="43" spans="2:21" ht="29" x14ac:dyDescent="0.35">
      <c r="B43" s="4" t="s">
        <v>69</v>
      </c>
      <c r="F43" s="1" t="s">
        <v>226</v>
      </c>
      <c r="I43" s="1" t="s">
        <v>347</v>
      </c>
      <c r="J43" s="1">
        <v>20</v>
      </c>
      <c r="K43" s="1" t="s">
        <v>423</v>
      </c>
      <c r="L43" s="2" t="s">
        <v>503</v>
      </c>
      <c r="R43" s="1" t="s">
        <v>721</v>
      </c>
      <c r="S43" s="1" t="s">
        <v>722</v>
      </c>
      <c r="T43" s="1" t="s">
        <v>722</v>
      </c>
      <c r="U43" s="1" t="s">
        <v>723</v>
      </c>
    </row>
    <row r="44" spans="2:21" ht="43.5" x14ac:dyDescent="0.35">
      <c r="B44" s="4" t="s">
        <v>70</v>
      </c>
      <c r="F44" s="1" t="s">
        <v>148</v>
      </c>
      <c r="I44" s="1" t="s">
        <v>225</v>
      </c>
      <c r="J44" s="1">
        <v>30</v>
      </c>
      <c r="K44" s="1" t="s">
        <v>383</v>
      </c>
      <c r="L44" s="2" t="s">
        <v>464</v>
      </c>
      <c r="R44" s="1" t="s">
        <v>724</v>
      </c>
      <c r="S44" s="1" t="s">
        <v>725</v>
      </c>
      <c r="T44" s="1" t="s">
        <v>726</v>
      </c>
      <c r="U44" s="1" t="s">
        <v>727</v>
      </c>
    </row>
    <row r="45" spans="2:21" ht="43.5" x14ac:dyDescent="0.35">
      <c r="B45" s="4" t="s">
        <v>71</v>
      </c>
      <c r="F45" s="1" t="s">
        <v>318</v>
      </c>
      <c r="I45" s="1" t="s">
        <v>225</v>
      </c>
      <c r="J45" s="1">
        <v>30</v>
      </c>
      <c r="K45" s="1" t="s">
        <v>383</v>
      </c>
      <c r="L45" s="2" t="s">
        <v>464</v>
      </c>
      <c r="R45" s="1" t="s">
        <v>728</v>
      </c>
      <c r="S45" s="1" t="s">
        <v>729</v>
      </c>
      <c r="T45" s="1" t="s">
        <v>730</v>
      </c>
      <c r="U45" s="1" t="s">
        <v>731</v>
      </c>
    </row>
    <row r="46" spans="2:21" ht="29" x14ac:dyDescent="0.35">
      <c r="B46" s="4" t="s">
        <v>72</v>
      </c>
      <c r="F46" s="1" t="s">
        <v>152</v>
      </c>
      <c r="I46" s="1" t="s">
        <v>237</v>
      </c>
      <c r="J46" s="1">
        <v>21</v>
      </c>
      <c r="K46" s="1" t="s">
        <v>384</v>
      </c>
      <c r="L46" s="2" t="s">
        <v>465</v>
      </c>
      <c r="R46" s="1" t="s">
        <v>732</v>
      </c>
      <c r="S46" s="1" t="s">
        <v>524</v>
      </c>
      <c r="T46" s="1" t="s">
        <v>733</v>
      </c>
      <c r="U46" s="1" t="s">
        <v>734</v>
      </c>
    </row>
    <row r="47" spans="2:21" ht="43.5" x14ac:dyDescent="0.35">
      <c r="B47" s="4" t="s">
        <v>73</v>
      </c>
      <c r="F47" s="1" t="s">
        <v>154</v>
      </c>
      <c r="I47" s="1" t="s">
        <v>229</v>
      </c>
      <c r="J47" s="1">
        <v>28</v>
      </c>
      <c r="K47" s="1" t="s">
        <v>385</v>
      </c>
      <c r="L47" s="2" t="s">
        <v>466</v>
      </c>
      <c r="R47" s="1" t="s">
        <v>735</v>
      </c>
      <c r="S47" s="1" t="s">
        <v>736</v>
      </c>
      <c r="T47" s="1" t="s">
        <v>737</v>
      </c>
      <c r="U47" s="1" t="s">
        <v>738</v>
      </c>
    </row>
    <row r="48" spans="2:21" ht="29" x14ac:dyDescent="0.35">
      <c r="B48" s="4" t="s">
        <v>74</v>
      </c>
      <c r="F48" s="1" t="s">
        <v>160</v>
      </c>
      <c r="I48" s="1" t="s">
        <v>231</v>
      </c>
      <c r="J48" s="1">
        <v>21</v>
      </c>
      <c r="K48" s="1" t="s">
        <v>386</v>
      </c>
      <c r="L48" s="2" t="s">
        <v>467</v>
      </c>
      <c r="R48" s="1" t="s">
        <v>739</v>
      </c>
      <c r="S48" s="1" t="s">
        <v>740</v>
      </c>
      <c r="T48" s="1" t="s">
        <v>741</v>
      </c>
      <c r="U48" s="1" t="s">
        <v>742</v>
      </c>
    </row>
    <row r="49" spans="2:21" ht="29" x14ac:dyDescent="0.35">
      <c r="B49" s="4" t="s">
        <v>75</v>
      </c>
      <c r="F49" s="1" t="s">
        <v>147</v>
      </c>
      <c r="I49" s="1" t="s">
        <v>235</v>
      </c>
      <c r="J49" s="1">
        <v>20</v>
      </c>
      <c r="K49" s="1" t="s">
        <v>387</v>
      </c>
      <c r="L49" s="2" t="s">
        <v>468</v>
      </c>
      <c r="R49" s="1" t="s">
        <v>743</v>
      </c>
      <c r="S49" s="1" t="s">
        <v>744</v>
      </c>
      <c r="T49" s="1" t="s">
        <v>583</v>
      </c>
      <c r="U49" s="1" t="s">
        <v>745</v>
      </c>
    </row>
    <row r="50" spans="2:21" ht="29" x14ac:dyDescent="0.35">
      <c r="B50" s="4" t="s">
        <v>76</v>
      </c>
      <c r="F50" s="1" t="s">
        <v>155</v>
      </c>
      <c r="I50" s="1" t="s">
        <v>236</v>
      </c>
      <c r="J50" s="1">
        <v>20</v>
      </c>
      <c r="K50" s="1" t="s">
        <v>388</v>
      </c>
      <c r="L50" s="2" t="s">
        <v>469</v>
      </c>
      <c r="R50" s="1" t="s">
        <v>746</v>
      </c>
      <c r="S50" s="1" t="s">
        <v>747</v>
      </c>
      <c r="T50" s="1" t="s">
        <v>748</v>
      </c>
      <c r="U50" s="1" t="s">
        <v>749</v>
      </c>
    </row>
    <row r="51" spans="2:21" ht="29" x14ac:dyDescent="0.35">
      <c r="B51" s="4" t="s">
        <v>77</v>
      </c>
      <c r="F51" s="1" t="s">
        <v>223</v>
      </c>
      <c r="I51" s="1" t="s">
        <v>246</v>
      </c>
      <c r="J51" s="1">
        <v>19</v>
      </c>
      <c r="K51" s="1" t="s">
        <v>389</v>
      </c>
      <c r="L51" s="2" t="s">
        <v>470</v>
      </c>
      <c r="R51" s="1" t="s">
        <v>750</v>
      </c>
      <c r="S51" s="1" t="s">
        <v>751</v>
      </c>
      <c r="U51" s="1" t="s">
        <v>752</v>
      </c>
    </row>
    <row r="52" spans="2:21" ht="43.5" x14ac:dyDescent="0.35">
      <c r="B52" s="4" t="s">
        <v>78</v>
      </c>
      <c r="F52" s="1" t="s">
        <v>557</v>
      </c>
      <c r="I52" s="1" t="s">
        <v>255</v>
      </c>
      <c r="J52" s="1">
        <v>31</v>
      </c>
      <c r="K52" s="1" t="s">
        <v>390</v>
      </c>
      <c r="L52" s="2" t="s">
        <v>471</v>
      </c>
      <c r="R52" s="1" t="s">
        <v>753</v>
      </c>
      <c r="S52" s="1" t="s">
        <v>754</v>
      </c>
      <c r="T52" s="1" t="s">
        <v>755</v>
      </c>
      <c r="U52" s="1" t="s">
        <v>756</v>
      </c>
    </row>
    <row r="53" spans="2:21" ht="43.5" x14ac:dyDescent="0.35">
      <c r="B53" s="4" t="s">
        <v>79</v>
      </c>
      <c r="F53" s="1" t="s">
        <v>151</v>
      </c>
      <c r="I53" s="1" t="s">
        <v>253</v>
      </c>
      <c r="J53" s="1">
        <v>27</v>
      </c>
      <c r="K53" s="1" t="s">
        <v>424</v>
      </c>
      <c r="L53" s="2" t="s">
        <v>504</v>
      </c>
      <c r="R53" s="1" t="s">
        <v>757</v>
      </c>
      <c r="S53" s="1" t="s">
        <v>758</v>
      </c>
      <c r="T53" s="1" t="s">
        <v>759</v>
      </c>
      <c r="U53" s="1" t="s">
        <v>760</v>
      </c>
    </row>
    <row r="54" spans="2:21" ht="43.5" x14ac:dyDescent="0.35">
      <c r="F54" s="1" t="s">
        <v>156</v>
      </c>
      <c r="I54" s="1" t="s">
        <v>256</v>
      </c>
      <c r="J54" s="1">
        <v>30</v>
      </c>
      <c r="K54" s="1" t="s">
        <v>425</v>
      </c>
      <c r="L54" s="2" t="s">
        <v>505</v>
      </c>
      <c r="R54" s="1" t="s">
        <v>528</v>
      </c>
      <c r="S54" s="1" t="s">
        <v>529</v>
      </c>
      <c r="T54" s="1" t="s">
        <v>761</v>
      </c>
      <c r="U54" s="1" t="s">
        <v>762</v>
      </c>
    </row>
    <row r="55" spans="2:21" ht="29" x14ac:dyDescent="0.35">
      <c r="F55" s="1" t="s">
        <v>150</v>
      </c>
      <c r="I55" s="1" t="s">
        <v>241</v>
      </c>
      <c r="J55" s="1">
        <v>24</v>
      </c>
      <c r="K55" s="1" t="s">
        <v>391</v>
      </c>
      <c r="L55" s="2" t="s">
        <v>472</v>
      </c>
      <c r="R55" s="1" t="s">
        <v>526</v>
      </c>
      <c r="S55" s="1" t="s">
        <v>527</v>
      </c>
      <c r="T55" s="1" t="s">
        <v>763</v>
      </c>
      <c r="U55" s="1" t="s">
        <v>764</v>
      </c>
    </row>
    <row r="56" spans="2:21" ht="43.5" x14ac:dyDescent="0.35">
      <c r="F56" s="1" t="s">
        <v>202</v>
      </c>
      <c r="I56" s="1" t="s">
        <v>240</v>
      </c>
      <c r="J56" s="1">
        <v>27</v>
      </c>
      <c r="K56" s="1" t="s">
        <v>392</v>
      </c>
      <c r="L56" s="2" t="s">
        <v>473</v>
      </c>
      <c r="R56" s="1" t="s">
        <v>765</v>
      </c>
      <c r="S56" s="1" t="s">
        <v>766</v>
      </c>
      <c r="T56" s="1" t="s">
        <v>767</v>
      </c>
      <c r="U56" s="1" t="s">
        <v>768</v>
      </c>
    </row>
    <row r="57" spans="2:21" ht="29" x14ac:dyDescent="0.35">
      <c r="F57" s="1" t="s">
        <v>157</v>
      </c>
      <c r="I57" s="1" t="s">
        <v>242</v>
      </c>
      <c r="J57" s="1">
        <v>22</v>
      </c>
      <c r="K57" s="1" t="s">
        <v>393</v>
      </c>
      <c r="L57" s="2" t="s">
        <v>474</v>
      </c>
      <c r="R57" s="1" t="s">
        <v>769</v>
      </c>
      <c r="S57" s="1" t="s">
        <v>770</v>
      </c>
      <c r="U57" s="1" t="s">
        <v>771</v>
      </c>
    </row>
    <row r="58" spans="2:21" ht="29" x14ac:dyDescent="0.35">
      <c r="F58" s="1" t="s">
        <v>159</v>
      </c>
      <c r="I58" s="1" t="s">
        <v>268</v>
      </c>
      <c r="J58" s="1">
        <v>18</v>
      </c>
      <c r="K58" s="1" t="s">
        <v>394</v>
      </c>
      <c r="L58" s="2" t="s">
        <v>475</v>
      </c>
      <c r="R58" s="1" t="s">
        <v>772</v>
      </c>
      <c r="S58" s="1" t="s">
        <v>773</v>
      </c>
      <c r="T58" s="1" t="s">
        <v>687</v>
      </c>
      <c r="U58" s="1" t="s">
        <v>774</v>
      </c>
    </row>
    <row r="59" spans="2:21" ht="29" x14ac:dyDescent="0.35">
      <c r="F59" s="1" t="s">
        <v>161</v>
      </c>
      <c r="I59" s="1" t="s">
        <v>269</v>
      </c>
      <c r="J59" s="1">
        <v>15</v>
      </c>
      <c r="K59" s="1" t="s">
        <v>395</v>
      </c>
      <c r="L59" s="2" t="s">
        <v>476</v>
      </c>
      <c r="R59" s="1" t="s">
        <v>775</v>
      </c>
      <c r="S59" s="1" t="s">
        <v>776</v>
      </c>
      <c r="T59" s="1" t="s">
        <v>776</v>
      </c>
      <c r="U59" s="1" t="s">
        <v>777</v>
      </c>
    </row>
    <row r="60" spans="2:21" ht="29" x14ac:dyDescent="0.35">
      <c r="F60" s="1" t="s">
        <v>162</v>
      </c>
      <c r="I60" s="1" t="s">
        <v>280</v>
      </c>
      <c r="J60" s="1">
        <v>24</v>
      </c>
      <c r="K60" s="1" t="s">
        <v>426</v>
      </c>
      <c r="L60" s="2" t="s">
        <v>506</v>
      </c>
      <c r="R60" s="1" t="s">
        <v>778</v>
      </c>
      <c r="S60" s="1" t="s">
        <v>779</v>
      </c>
      <c r="T60" s="1" t="s">
        <v>660</v>
      </c>
      <c r="U60" s="1" t="s">
        <v>780</v>
      </c>
    </row>
    <row r="61" spans="2:21" ht="43.5" x14ac:dyDescent="0.35">
      <c r="F61" s="1" t="s">
        <v>165</v>
      </c>
      <c r="I61" s="1" t="s">
        <v>396</v>
      </c>
      <c r="J61" s="1">
        <v>29</v>
      </c>
      <c r="K61" s="1" t="s">
        <v>397</v>
      </c>
      <c r="L61" s="2" t="s">
        <v>477</v>
      </c>
      <c r="R61" s="1" t="s">
        <v>781</v>
      </c>
      <c r="S61" s="1" t="s">
        <v>530</v>
      </c>
      <c r="T61" s="1" t="s">
        <v>782</v>
      </c>
      <c r="U61" s="1" t="s">
        <v>783</v>
      </c>
    </row>
    <row r="62" spans="2:21" ht="43.5" x14ac:dyDescent="0.35">
      <c r="F62" s="1" t="s">
        <v>164</v>
      </c>
      <c r="I62" s="1" t="s">
        <v>281</v>
      </c>
      <c r="J62" s="1">
        <v>28</v>
      </c>
      <c r="K62" s="1" t="s">
        <v>398</v>
      </c>
      <c r="L62" s="2" t="s">
        <v>478</v>
      </c>
      <c r="R62" s="1" t="s">
        <v>784</v>
      </c>
      <c r="S62" s="1" t="s">
        <v>785</v>
      </c>
      <c r="T62" s="1" t="s">
        <v>785</v>
      </c>
      <c r="U62" s="1" t="s">
        <v>786</v>
      </c>
    </row>
    <row r="63" spans="2:21" ht="29" x14ac:dyDescent="0.35">
      <c r="F63" s="1" t="s">
        <v>166</v>
      </c>
      <c r="I63" s="1" t="s">
        <v>287</v>
      </c>
      <c r="J63" s="1">
        <v>25</v>
      </c>
      <c r="K63" s="1" t="s">
        <v>399</v>
      </c>
      <c r="L63" s="2" t="s">
        <v>479</v>
      </c>
      <c r="R63" s="1" t="s">
        <v>787</v>
      </c>
      <c r="S63" s="1" t="s">
        <v>788</v>
      </c>
      <c r="T63" s="1" t="s">
        <v>788</v>
      </c>
      <c r="U63" s="1" t="s">
        <v>789</v>
      </c>
    </row>
    <row r="64" spans="2:21" ht="43.5" x14ac:dyDescent="0.35">
      <c r="F64" s="1" t="s">
        <v>167</v>
      </c>
      <c r="I64" s="1" t="s">
        <v>290</v>
      </c>
      <c r="J64" s="1">
        <v>29</v>
      </c>
      <c r="K64" s="1" t="s">
        <v>400</v>
      </c>
      <c r="L64" s="2" t="s">
        <v>480</v>
      </c>
      <c r="R64" s="1" t="s">
        <v>790</v>
      </c>
      <c r="S64" s="1" t="s">
        <v>791</v>
      </c>
      <c r="T64" s="1" t="s">
        <v>791</v>
      </c>
      <c r="U64" s="1" t="s">
        <v>792</v>
      </c>
    </row>
    <row r="65" spans="6:21" ht="29" x14ac:dyDescent="0.35">
      <c r="F65" s="1" t="s">
        <v>169</v>
      </c>
      <c r="I65" s="1" t="s">
        <v>292</v>
      </c>
      <c r="J65" s="1">
        <v>24</v>
      </c>
      <c r="K65" s="1" t="s">
        <v>401</v>
      </c>
      <c r="L65" s="2" t="s">
        <v>481</v>
      </c>
      <c r="R65" s="1" t="s">
        <v>793</v>
      </c>
      <c r="S65" s="1" t="s">
        <v>794</v>
      </c>
      <c r="T65" s="1" t="s">
        <v>795</v>
      </c>
      <c r="U65" s="1" t="s">
        <v>796</v>
      </c>
    </row>
    <row r="66" spans="6:21" ht="43.5" x14ac:dyDescent="0.35">
      <c r="F66" s="1" t="s">
        <v>171</v>
      </c>
      <c r="I66" s="1" t="s">
        <v>230</v>
      </c>
      <c r="J66" s="1">
        <v>32</v>
      </c>
      <c r="K66" s="1" t="s">
        <v>430</v>
      </c>
      <c r="L66" s="2" t="s">
        <v>510</v>
      </c>
      <c r="R66" s="1" t="s">
        <v>532</v>
      </c>
      <c r="S66" s="1" t="s">
        <v>533</v>
      </c>
      <c r="T66" s="1" t="s">
        <v>795</v>
      </c>
      <c r="U66" s="1" t="s">
        <v>797</v>
      </c>
    </row>
    <row r="67" spans="6:21" ht="43.5" x14ac:dyDescent="0.35">
      <c r="F67" s="1" t="s">
        <v>313</v>
      </c>
      <c r="I67" s="1" t="s">
        <v>307</v>
      </c>
      <c r="J67" s="1">
        <v>27</v>
      </c>
      <c r="K67" s="1" t="s">
        <v>402</v>
      </c>
      <c r="L67" s="2" t="s">
        <v>482</v>
      </c>
      <c r="R67" s="1" t="s">
        <v>798</v>
      </c>
      <c r="S67" s="1" t="s">
        <v>799</v>
      </c>
      <c r="T67" s="1" t="s">
        <v>800</v>
      </c>
      <c r="U67" s="1" t="s">
        <v>801</v>
      </c>
    </row>
    <row r="68" spans="6:21" ht="29" x14ac:dyDescent="0.35">
      <c r="F68" s="1" t="s">
        <v>192</v>
      </c>
      <c r="I68" s="1" t="s">
        <v>312</v>
      </c>
      <c r="J68" s="1">
        <v>25</v>
      </c>
      <c r="K68" s="1" t="s">
        <v>427</v>
      </c>
      <c r="L68" s="2" t="s">
        <v>507</v>
      </c>
      <c r="R68" s="1" t="s">
        <v>802</v>
      </c>
      <c r="S68" s="1" t="s">
        <v>803</v>
      </c>
      <c r="T68" s="1" t="s">
        <v>575</v>
      </c>
      <c r="U68" s="1" t="s">
        <v>804</v>
      </c>
    </row>
    <row r="69" spans="6:21" ht="29" x14ac:dyDescent="0.35">
      <c r="F69" s="1" t="s">
        <v>173</v>
      </c>
      <c r="I69" s="1" t="s">
        <v>296</v>
      </c>
      <c r="J69" s="1">
        <v>24</v>
      </c>
      <c r="K69" s="1" t="s">
        <v>403</v>
      </c>
      <c r="L69" s="2" t="s">
        <v>483</v>
      </c>
      <c r="R69" s="1" t="s">
        <v>805</v>
      </c>
      <c r="S69" s="1" t="s">
        <v>806</v>
      </c>
      <c r="T69" s="1" t="s">
        <v>806</v>
      </c>
      <c r="U69" s="1" t="s">
        <v>807</v>
      </c>
    </row>
    <row r="70" spans="6:21" ht="29" x14ac:dyDescent="0.35">
      <c r="F70" s="1" t="s">
        <v>170</v>
      </c>
      <c r="I70" s="1" t="s">
        <v>293</v>
      </c>
      <c r="J70" s="1">
        <v>22</v>
      </c>
      <c r="K70" s="1" t="s">
        <v>428</v>
      </c>
      <c r="L70" s="2" t="s">
        <v>508</v>
      </c>
      <c r="R70" s="1" t="s">
        <v>808</v>
      </c>
      <c r="S70" s="1" t="s">
        <v>809</v>
      </c>
      <c r="T70" s="1" t="s">
        <v>810</v>
      </c>
      <c r="U70" s="1" t="s">
        <v>811</v>
      </c>
    </row>
    <row r="71" spans="6:21" ht="43.5" x14ac:dyDescent="0.35">
      <c r="F71" s="1" t="s">
        <v>175</v>
      </c>
      <c r="I71" s="1" t="s">
        <v>298</v>
      </c>
      <c r="J71" s="1">
        <v>31</v>
      </c>
      <c r="K71" s="1" t="s">
        <v>429</v>
      </c>
      <c r="L71" s="2" t="s">
        <v>509</v>
      </c>
      <c r="R71" s="1" t="s">
        <v>812</v>
      </c>
      <c r="S71" s="1" t="s">
        <v>813</v>
      </c>
      <c r="T71" s="1" t="s">
        <v>814</v>
      </c>
      <c r="U71" s="1" t="s">
        <v>815</v>
      </c>
    </row>
    <row r="72" spans="6:21" ht="29" x14ac:dyDescent="0.35">
      <c r="F72" s="1" t="s">
        <v>178</v>
      </c>
      <c r="I72" s="1" t="s">
        <v>305</v>
      </c>
      <c r="J72" s="1">
        <v>24</v>
      </c>
      <c r="K72" s="1" t="s">
        <v>404</v>
      </c>
      <c r="L72" s="2" t="s">
        <v>484</v>
      </c>
      <c r="R72" s="1" t="s">
        <v>816</v>
      </c>
      <c r="S72" s="1" t="s">
        <v>817</v>
      </c>
      <c r="T72" s="1" t="s">
        <v>817</v>
      </c>
      <c r="U72" s="1" t="s">
        <v>818</v>
      </c>
    </row>
    <row r="73" spans="6:21" ht="29" x14ac:dyDescent="0.35">
      <c r="F73" s="1" t="s">
        <v>179</v>
      </c>
      <c r="I73" s="1" t="s">
        <v>303</v>
      </c>
      <c r="J73" s="1">
        <v>19</v>
      </c>
      <c r="K73" s="1" t="s">
        <v>405</v>
      </c>
      <c r="L73" s="2" t="s">
        <v>485</v>
      </c>
      <c r="R73" s="1" t="s">
        <v>819</v>
      </c>
      <c r="S73" s="1" t="s">
        <v>820</v>
      </c>
      <c r="T73" s="1" t="s">
        <v>820</v>
      </c>
      <c r="U73" s="1" t="s">
        <v>821</v>
      </c>
    </row>
    <row r="74" spans="6:21" ht="29" x14ac:dyDescent="0.35">
      <c r="F74" s="1" t="s">
        <v>177</v>
      </c>
      <c r="I74" s="1" t="s">
        <v>174</v>
      </c>
      <c r="J74" s="1">
        <v>24</v>
      </c>
      <c r="K74" s="1" t="s">
        <v>406</v>
      </c>
      <c r="L74" s="2" t="s">
        <v>486</v>
      </c>
      <c r="R74" s="1" t="s">
        <v>822</v>
      </c>
      <c r="S74" s="1" t="s">
        <v>823</v>
      </c>
      <c r="T74" s="1" t="s">
        <v>824</v>
      </c>
      <c r="U74" s="1" t="s">
        <v>825</v>
      </c>
    </row>
    <row r="75" spans="6:21" ht="29" x14ac:dyDescent="0.35">
      <c r="F75" s="1" t="s">
        <v>176</v>
      </c>
      <c r="I75" s="1" t="s">
        <v>300</v>
      </c>
      <c r="J75" s="1">
        <v>24</v>
      </c>
      <c r="K75" s="1" t="s">
        <v>407</v>
      </c>
      <c r="L75" s="2" t="s">
        <v>487</v>
      </c>
      <c r="R75" s="1" t="s">
        <v>826</v>
      </c>
      <c r="S75" s="1" t="s">
        <v>827</v>
      </c>
      <c r="T75" s="1" t="s">
        <v>828</v>
      </c>
      <c r="U75" s="1" t="s">
        <v>829</v>
      </c>
    </row>
    <row r="76" spans="6:21" ht="29" x14ac:dyDescent="0.35">
      <c r="F76" s="1" t="s">
        <v>180</v>
      </c>
      <c r="I76" s="1" t="s">
        <v>149</v>
      </c>
      <c r="J76" s="1">
        <v>21</v>
      </c>
      <c r="K76" s="1" t="s">
        <v>408</v>
      </c>
      <c r="L76" s="2" t="s">
        <v>488</v>
      </c>
      <c r="R76" s="1" t="s">
        <v>830</v>
      </c>
      <c r="S76" s="1" t="s">
        <v>831</v>
      </c>
      <c r="T76" s="1" t="s">
        <v>575</v>
      </c>
      <c r="U76" s="1" t="s">
        <v>832</v>
      </c>
    </row>
    <row r="77" spans="6:21" ht="29" x14ac:dyDescent="0.35">
      <c r="F77" s="1" t="s">
        <v>185</v>
      </c>
      <c r="I77" s="1" t="s">
        <v>324</v>
      </c>
      <c r="J77" s="1">
        <v>23</v>
      </c>
      <c r="K77" s="1" t="s">
        <v>434</v>
      </c>
      <c r="L77" s="2" t="s">
        <v>514</v>
      </c>
      <c r="R77" s="1" t="s">
        <v>833</v>
      </c>
      <c r="S77" s="1" t="s">
        <v>834</v>
      </c>
      <c r="T77" s="1" t="s">
        <v>835</v>
      </c>
      <c r="U77" s="1" t="s">
        <v>836</v>
      </c>
    </row>
    <row r="78" spans="6:21" ht="29" x14ac:dyDescent="0.35">
      <c r="F78" s="1" t="s">
        <v>277</v>
      </c>
      <c r="I78" s="1" t="s">
        <v>326</v>
      </c>
      <c r="J78" s="1">
        <v>24</v>
      </c>
      <c r="K78" s="1" t="s">
        <v>409</v>
      </c>
      <c r="L78" s="2" t="s">
        <v>489</v>
      </c>
      <c r="R78" s="1" t="s">
        <v>837</v>
      </c>
      <c r="S78" s="1" t="s">
        <v>838</v>
      </c>
      <c r="T78" s="1" t="s">
        <v>839</v>
      </c>
      <c r="U78" s="1" t="s">
        <v>840</v>
      </c>
    </row>
    <row r="79" spans="6:21" ht="29" x14ac:dyDescent="0.35">
      <c r="F79" s="1" t="s">
        <v>319</v>
      </c>
      <c r="I79" s="1" t="s">
        <v>328</v>
      </c>
      <c r="J79" s="1">
        <v>26</v>
      </c>
      <c r="K79" s="1" t="s">
        <v>410</v>
      </c>
      <c r="L79" s="2" t="s">
        <v>490</v>
      </c>
      <c r="R79" s="1" t="s">
        <v>841</v>
      </c>
      <c r="S79" s="1" t="s">
        <v>842</v>
      </c>
      <c r="T79" s="1" t="s">
        <v>843</v>
      </c>
      <c r="U79" s="1" t="s">
        <v>844</v>
      </c>
    </row>
    <row r="80" spans="6:21" ht="43.5" x14ac:dyDescent="0.35">
      <c r="F80" s="1" t="s">
        <v>181</v>
      </c>
      <c r="I80" s="1" t="s">
        <v>333</v>
      </c>
      <c r="J80" s="1">
        <v>29</v>
      </c>
      <c r="K80" s="1" t="s">
        <v>431</v>
      </c>
      <c r="L80" s="2" t="s">
        <v>511</v>
      </c>
      <c r="R80" s="1" t="s">
        <v>845</v>
      </c>
      <c r="S80" s="1" t="s">
        <v>846</v>
      </c>
      <c r="T80" s="1" t="s">
        <v>847</v>
      </c>
      <c r="U80" s="1" t="s">
        <v>848</v>
      </c>
    </row>
    <row r="81" spans="6:21" ht="29" x14ac:dyDescent="0.35">
      <c r="F81" s="1" t="s">
        <v>558</v>
      </c>
      <c r="I81" s="1" t="s">
        <v>114</v>
      </c>
      <c r="J81" s="1">
        <v>23</v>
      </c>
      <c r="K81" s="1" t="s">
        <v>411</v>
      </c>
      <c r="L81" s="2" t="s">
        <v>491</v>
      </c>
      <c r="R81" s="1" t="s">
        <v>535</v>
      </c>
      <c r="S81" s="1" t="s">
        <v>536</v>
      </c>
      <c r="T81" s="1" t="s">
        <v>575</v>
      </c>
      <c r="U81" s="1" t="s">
        <v>849</v>
      </c>
    </row>
    <row r="82" spans="6:21" ht="29" x14ac:dyDescent="0.35">
      <c r="F82" s="1" t="s">
        <v>285</v>
      </c>
      <c r="I82" s="18" t="s">
        <v>182</v>
      </c>
      <c r="J82" s="1">
        <v>22</v>
      </c>
      <c r="K82" s="1" t="s">
        <v>373</v>
      </c>
      <c r="L82" s="2" t="s">
        <v>454</v>
      </c>
      <c r="R82" s="1" t="s">
        <v>850</v>
      </c>
      <c r="S82" s="1" t="s">
        <v>851</v>
      </c>
      <c r="T82" s="1" t="s">
        <v>852</v>
      </c>
      <c r="U82" s="1" t="s">
        <v>853</v>
      </c>
    </row>
    <row r="83" spans="6:21" ht="29" x14ac:dyDescent="0.35">
      <c r="F83" s="1" t="s">
        <v>184</v>
      </c>
      <c r="I83" s="1" t="s">
        <v>342</v>
      </c>
      <c r="J83" s="1">
        <v>24</v>
      </c>
      <c r="K83" s="1" t="s">
        <v>433</v>
      </c>
      <c r="L83" s="2" t="s">
        <v>513</v>
      </c>
      <c r="R83" s="1" t="s">
        <v>854</v>
      </c>
      <c r="S83" s="1" t="s">
        <v>855</v>
      </c>
      <c r="T83" s="1" t="s">
        <v>856</v>
      </c>
      <c r="U83" s="1" t="s">
        <v>857</v>
      </c>
    </row>
    <row r="84" spans="6:21" x14ac:dyDescent="0.35">
      <c r="F84" s="1" t="s">
        <v>163</v>
      </c>
      <c r="R84" s="1" t="s">
        <v>858</v>
      </c>
      <c r="S84" s="1" t="s">
        <v>859</v>
      </c>
      <c r="T84" s="1" t="s">
        <v>860</v>
      </c>
      <c r="U84" s="1" t="s">
        <v>861</v>
      </c>
    </row>
    <row r="85" spans="6:21" x14ac:dyDescent="0.35">
      <c r="F85" s="1" t="s">
        <v>187</v>
      </c>
      <c r="R85" s="1" t="s">
        <v>862</v>
      </c>
      <c r="S85" s="1" t="s">
        <v>863</v>
      </c>
      <c r="T85" s="1" t="s">
        <v>650</v>
      </c>
      <c r="U85" s="1" t="s">
        <v>864</v>
      </c>
    </row>
    <row r="86" spans="6:21" x14ac:dyDescent="0.35">
      <c r="F86" s="1" t="s">
        <v>188</v>
      </c>
      <c r="R86" s="1" t="s">
        <v>865</v>
      </c>
      <c r="S86" s="1" t="s">
        <v>866</v>
      </c>
      <c r="T86" s="1" t="s">
        <v>687</v>
      </c>
      <c r="U86" s="1" t="s">
        <v>867</v>
      </c>
    </row>
    <row r="87" spans="6:21" x14ac:dyDescent="0.35">
      <c r="F87" s="1" t="s">
        <v>193</v>
      </c>
      <c r="R87" s="1" t="s">
        <v>868</v>
      </c>
      <c r="S87" s="1" t="s">
        <v>869</v>
      </c>
      <c r="T87" s="1" t="s">
        <v>839</v>
      </c>
      <c r="U87" s="1" t="s">
        <v>870</v>
      </c>
    </row>
    <row r="88" spans="6:21" x14ac:dyDescent="0.35">
      <c r="F88" s="1" t="s">
        <v>189</v>
      </c>
      <c r="R88" s="1" t="s">
        <v>871</v>
      </c>
      <c r="S88" s="1" t="s">
        <v>872</v>
      </c>
      <c r="T88" s="1" t="s">
        <v>575</v>
      </c>
      <c r="U88" s="1" t="s">
        <v>873</v>
      </c>
    </row>
    <row r="89" spans="6:21" x14ac:dyDescent="0.35">
      <c r="F89" s="1" t="s">
        <v>183</v>
      </c>
      <c r="R89" s="1" t="s">
        <v>874</v>
      </c>
      <c r="S89" s="1" t="s">
        <v>875</v>
      </c>
      <c r="T89" s="1" t="s">
        <v>876</v>
      </c>
      <c r="U89" s="1" t="s">
        <v>877</v>
      </c>
    </row>
    <row r="90" spans="6:21" x14ac:dyDescent="0.35">
      <c r="F90" s="1" t="s">
        <v>191</v>
      </c>
      <c r="R90" s="1" t="s">
        <v>878</v>
      </c>
      <c r="S90" s="1" t="s">
        <v>879</v>
      </c>
      <c r="T90" s="1" t="s">
        <v>880</v>
      </c>
      <c r="U90" s="1" t="s">
        <v>881</v>
      </c>
    </row>
    <row r="91" spans="6:21" x14ac:dyDescent="0.35">
      <c r="F91" s="1" t="s">
        <v>196</v>
      </c>
      <c r="G91" s="1" t="s">
        <v>22</v>
      </c>
      <c r="R91" s="1" t="s">
        <v>882</v>
      </c>
      <c r="S91" s="1" t="s">
        <v>883</v>
      </c>
      <c r="T91" s="1" t="s">
        <v>884</v>
      </c>
      <c r="U91" s="1" t="s">
        <v>885</v>
      </c>
    </row>
    <row r="92" spans="6:21" x14ac:dyDescent="0.35">
      <c r="F92" s="1" t="s">
        <v>195</v>
      </c>
      <c r="R92" s="1" t="s">
        <v>886</v>
      </c>
      <c r="S92" s="1" t="s">
        <v>887</v>
      </c>
      <c r="T92" s="1" t="s">
        <v>824</v>
      </c>
      <c r="U92" s="1" t="s">
        <v>888</v>
      </c>
    </row>
    <row r="93" spans="6:21" x14ac:dyDescent="0.35">
      <c r="F93" s="1" t="s">
        <v>186</v>
      </c>
      <c r="R93" s="1" t="s">
        <v>889</v>
      </c>
      <c r="S93" s="1" t="s">
        <v>890</v>
      </c>
      <c r="T93" s="1" t="s">
        <v>891</v>
      </c>
      <c r="U93" s="1" t="s">
        <v>892</v>
      </c>
    </row>
    <row r="94" spans="6:21" x14ac:dyDescent="0.35">
      <c r="F94" s="1" t="s">
        <v>190</v>
      </c>
      <c r="R94" s="1" t="s">
        <v>893</v>
      </c>
      <c r="S94" s="1" t="s">
        <v>894</v>
      </c>
      <c r="T94" s="1" t="s">
        <v>763</v>
      </c>
      <c r="U94" s="1" t="s">
        <v>895</v>
      </c>
    </row>
    <row r="95" spans="6:21" x14ac:dyDescent="0.35">
      <c r="F95" s="1" t="s">
        <v>197</v>
      </c>
      <c r="R95" s="1" t="s">
        <v>896</v>
      </c>
      <c r="S95" s="1" t="s">
        <v>897</v>
      </c>
      <c r="T95" s="1" t="s">
        <v>898</v>
      </c>
      <c r="U95" s="1" t="s">
        <v>899</v>
      </c>
    </row>
    <row r="96" spans="6:21" x14ac:dyDescent="0.35">
      <c r="F96" s="1" t="s">
        <v>198</v>
      </c>
      <c r="R96" s="1" t="s">
        <v>900</v>
      </c>
      <c r="S96" s="1" t="s">
        <v>901</v>
      </c>
      <c r="U96" s="1" t="s">
        <v>902</v>
      </c>
    </row>
    <row r="97" spans="6:21" x14ac:dyDescent="0.35">
      <c r="F97" s="1" t="s">
        <v>203</v>
      </c>
      <c r="R97" s="1" t="s">
        <v>903</v>
      </c>
      <c r="S97" s="1" t="s">
        <v>904</v>
      </c>
      <c r="T97" s="1" t="s">
        <v>905</v>
      </c>
      <c r="U97" s="1" t="s">
        <v>906</v>
      </c>
    </row>
    <row r="98" spans="6:21" x14ac:dyDescent="0.35">
      <c r="F98" s="1" t="s">
        <v>200</v>
      </c>
      <c r="R98" s="1" t="s">
        <v>907</v>
      </c>
      <c r="S98" s="1" t="s">
        <v>908</v>
      </c>
      <c r="T98" s="1" t="s">
        <v>583</v>
      </c>
      <c r="U98" s="1" t="s">
        <v>909</v>
      </c>
    </row>
    <row r="99" spans="6:21" x14ac:dyDescent="0.35">
      <c r="F99" s="1" t="s">
        <v>338</v>
      </c>
      <c r="R99" s="1" t="s">
        <v>910</v>
      </c>
      <c r="S99" s="1" t="s">
        <v>911</v>
      </c>
      <c r="T99" s="1" t="s">
        <v>912</v>
      </c>
      <c r="U99" s="1" t="s">
        <v>913</v>
      </c>
    </row>
    <row r="100" spans="6:21" x14ac:dyDescent="0.35">
      <c r="F100" s="1" t="s">
        <v>201</v>
      </c>
      <c r="R100" s="1" t="s">
        <v>914</v>
      </c>
      <c r="S100" s="1" t="s">
        <v>915</v>
      </c>
      <c r="T100" s="1" t="s">
        <v>916</v>
      </c>
      <c r="U100" s="1" t="s">
        <v>917</v>
      </c>
    </row>
    <row r="101" spans="6:21" x14ac:dyDescent="0.35">
      <c r="F101" s="1" t="s">
        <v>199</v>
      </c>
      <c r="R101" s="1" t="s">
        <v>918</v>
      </c>
      <c r="S101" s="1" t="s">
        <v>919</v>
      </c>
      <c r="T101" s="1" t="s">
        <v>920</v>
      </c>
      <c r="U101" s="1" t="s">
        <v>921</v>
      </c>
    </row>
    <row r="102" spans="6:21" x14ac:dyDescent="0.35">
      <c r="F102" s="1" t="s">
        <v>204</v>
      </c>
      <c r="R102" s="1" t="s">
        <v>922</v>
      </c>
      <c r="S102" s="1" t="s">
        <v>923</v>
      </c>
      <c r="T102" s="1" t="s">
        <v>924</v>
      </c>
      <c r="U102" s="1" t="s">
        <v>925</v>
      </c>
    </row>
    <row r="103" spans="6:21" x14ac:dyDescent="0.35">
      <c r="F103" s="1" t="s">
        <v>213</v>
      </c>
      <c r="R103" s="1" t="s">
        <v>926</v>
      </c>
      <c r="S103" s="1" t="s">
        <v>927</v>
      </c>
      <c r="T103" s="1" t="s">
        <v>928</v>
      </c>
      <c r="U103" s="1" t="s">
        <v>929</v>
      </c>
    </row>
    <row r="104" spans="6:21" x14ac:dyDescent="0.35">
      <c r="F104" s="1" t="s">
        <v>209</v>
      </c>
      <c r="R104" s="1" t="s">
        <v>930</v>
      </c>
      <c r="S104" s="1" t="s">
        <v>931</v>
      </c>
      <c r="T104" s="1" t="s">
        <v>931</v>
      </c>
      <c r="U104" s="1" t="s">
        <v>932</v>
      </c>
    </row>
    <row r="105" spans="6:21" x14ac:dyDescent="0.35">
      <c r="F105" s="1" t="s">
        <v>205</v>
      </c>
      <c r="R105" s="1" t="s">
        <v>933</v>
      </c>
      <c r="S105" s="1" t="s">
        <v>934</v>
      </c>
      <c r="T105" s="1" t="s">
        <v>687</v>
      </c>
      <c r="U105" s="1" t="s">
        <v>935</v>
      </c>
    </row>
    <row r="106" spans="6:21" x14ac:dyDescent="0.35">
      <c r="F106" s="1" t="s">
        <v>212</v>
      </c>
      <c r="R106" s="1" t="s">
        <v>936</v>
      </c>
      <c r="S106" s="1" t="s">
        <v>937</v>
      </c>
      <c r="T106" s="1" t="s">
        <v>938</v>
      </c>
      <c r="U106" s="1" t="s">
        <v>939</v>
      </c>
    </row>
    <row r="107" spans="6:21" x14ac:dyDescent="0.35">
      <c r="F107" s="1" t="s">
        <v>211</v>
      </c>
      <c r="R107" s="1" t="s">
        <v>940</v>
      </c>
      <c r="S107" s="1" t="s">
        <v>941</v>
      </c>
      <c r="T107" s="1" t="s">
        <v>717</v>
      </c>
      <c r="U107" s="1" t="s">
        <v>942</v>
      </c>
    </row>
    <row r="108" spans="6:21" x14ac:dyDescent="0.35">
      <c r="F108" s="1" t="s">
        <v>206</v>
      </c>
      <c r="R108" s="1" t="s">
        <v>943</v>
      </c>
      <c r="S108" s="1" t="s">
        <v>944</v>
      </c>
      <c r="T108" s="1" t="s">
        <v>945</v>
      </c>
      <c r="U108" s="1" t="s">
        <v>946</v>
      </c>
    </row>
    <row r="109" spans="6:21" x14ac:dyDescent="0.35">
      <c r="F109" s="1" t="s">
        <v>208</v>
      </c>
      <c r="R109" s="1" t="s">
        <v>947</v>
      </c>
      <c r="S109" s="1" t="s">
        <v>948</v>
      </c>
      <c r="T109" s="1" t="s">
        <v>949</v>
      </c>
      <c r="U109" s="1" t="s">
        <v>950</v>
      </c>
    </row>
    <row r="110" spans="6:21" x14ac:dyDescent="0.35">
      <c r="F110" s="1" t="s">
        <v>207</v>
      </c>
      <c r="R110" s="1" t="s">
        <v>951</v>
      </c>
      <c r="S110" s="1" t="s">
        <v>952</v>
      </c>
      <c r="T110" s="1" t="s">
        <v>953</v>
      </c>
      <c r="U110" s="1" t="s">
        <v>954</v>
      </c>
    </row>
    <row r="111" spans="6:21" x14ac:dyDescent="0.35">
      <c r="F111" s="1" t="s">
        <v>214</v>
      </c>
      <c r="R111" s="1" t="s">
        <v>955</v>
      </c>
      <c r="S111" s="1" t="s">
        <v>956</v>
      </c>
      <c r="T111" s="1" t="s">
        <v>957</v>
      </c>
      <c r="U111" s="1" t="s">
        <v>958</v>
      </c>
    </row>
    <row r="112" spans="6:21" x14ac:dyDescent="0.35">
      <c r="F112" s="1" t="s">
        <v>216</v>
      </c>
      <c r="R112" s="1" t="s">
        <v>959</v>
      </c>
      <c r="S112" s="1" t="s">
        <v>960</v>
      </c>
      <c r="T112" s="1" t="s">
        <v>667</v>
      </c>
      <c r="U112" s="1" t="s">
        <v>961</v>
      </c>
    </row>
    <row r="113" spans="6:21" x14ac:dyDescent="0.35">
      <c r="F113" s="1" t="s">
        <v>218</v>
      </c>
      <c r="R113" s="1" t="s">
        <v>962</v>
      </c>
      <c r="S113" s="1" t="s">
        <v>963</v>
      </c>
      <c r="T113" s="1" t="s">
        <v>963</v>
      </c>
      <c r="U113" s="1" t="s">
        <v>964</v>
      </c>
    </row>
    <row r="114" spans="6:21" x14ac:dyDescent="0.35">
      <c r="F114" s="1" t="s">
        <v>215</v>
      </c>
      <c r="R114" s="1" t="s">
        <v>965</v>
      </c>
      <c r="S114" s="1" t="s">
        <v>966</v>
      </c>
      <c r="T114" s="1" t="s">
        <v>966</v>
      </c>
      <c r="U114" s="1" t="s">
        <v>967</v>
      </c>
    </row>
    <row r="115" spans="6:21" x14ac:dyDescent="0.35">
      <c r="F115" s="1" t="s">
        <v>217</v>
      </c>
      <c r="R115" s="1" t="s">
        <v>542</v>
      </c>
      <c r="S115" s="1" t="s">
        <v>543</v>
      </c>
      <c r="T115" s="1" t="s">
        <v>968</v>
      </c>
      <c r="U115" s="1" t="s">
        <v>969</v>
      </c>
    </row>
    <row r="116" spans="6:21" x14ac:dyDescent="0.35">
      <c r="F116" s="1" t="s">
        <v>227</v>
      </c>
      <c r="R116" s="1" t="s">
        <v>970</v>
      </c>
      <c r="S116" s="1" t="s">
        <v>971</v>
      </c>
      <c r="T116" s="1" t="s">
        <v>972</v>
      </c>
      <c r="U116" s="1" t="s">
        <v>973</v>
      </c>
    </row>
    <row r="117" spans="6:21" x14ac:dyDescent="0.35">
      <c r="F117" s="1" t="s">
        <v>219</v>
      </c>
      <c r="R117" s="1" t="s">
        <v>974</v>
      </c>
      <c r="S117" s="1" t="s">
        <v>975</v>
      </c>
      <c r="T117" s="1" t="s">
        <v>976</v>
      </c>
      <c r="U117" s="1" t="s">
        <v>977</v>
      </c>
    </row>
    <row r="118" spans="6:21" x14ac:dyDescent="0.35">
      <c r="F118" s="1" t="s">
        <v>222</v>
      </c>
      <c r="R118" s="1" t="s">
        <v>978</v>
      </c>
      <c r="S118" s="1" t="s">
        <v>979</v>
      </c>
      <c r="T118" s="1" t="s">
        <v>980</v>
      </c>
      <c r="U118" s="1" t="s">
        <v>981</v>
      </c>
    </row>
    <row r="119" spans="6:21" x14ac:dyDescent="0.35">
      <c r="F119" s="1" t="s">
        <v>347</v>
      </c>
      <c r="R119" s="1" t="s">
        <v>982</v>
      </c>
      <c r="S119" s="1" t="s">
        <v>983</v>
      </c>
      <c r="T119" s="1" t="s">
        <v>983</v>
      </c>
      <c r="U119" s="1" t="s">
        <v>984</v>
      </c>
    </row>
    <row r="120" spans="6:21" x14ac:dyDescent="0.35">
      <c r="F120" s="1" t="s">
        <v>225</v>
      </c>
      <c r="R120" s="1" t="s">
        <v>540</v>
      </c>
      <c r="S120" s="1" t="s">
        <v>541</v>
      </c>
      <c r="T120" s="1" t="s">
        <v>985</v>
      </c>
      <c r="U120" s="1" t="s">
        <v>986</v>
      </c>
    </row>
    <row r="121" spans="6:21" x14ac:dyDescent="0.35">
      <c r="F121" s="1" t="s">
        <v>220</v>
      </c>
      <c r="R121" s="1" t="s">
        <v>987</v>
      </c>
      <c r="S121" s="1" t="s">
        <v>988</v>
      </c>
      <c r="T121" s="1" t="s">
        <v>989</v>
      </c>
      <c r="U121" s="1" t="s">
        <v>990</v>
      </c>
    </row>
    <row r="122" spans="6:21" x14ac:dyDescent="0.35">
      <c r="F122" s="1" t="s">
        <v>228</v>
      </c>
      <c r="R122" s="1" t="s">
        <v>991</v>
      </c>
      <c r="S122" s="1" t="s">
        <v>992</v>
      </c>
      <c r="U122" s="1" t="s">
        <v>993</v>
      </c>
    </row>
    <row r="123" spans="6:21" x14ac:dyDescent="0.35">
      <c r="F123" s="1" t="s">
        <v>237</v>
      </c>
      <c r="R123" s="1" t="s">
        <v>994</v>
      </c>
      <c r="S123" s="1" t="s">
        <v>995</v>
      </c>
      <c r="T123" s="1" t="s">
        <v>996</v>
      </c>
      <c r="U123" s="1" t="s">
        <v>997</v>
      </c>
    </row>
    <row r="124" spans="6:21" x14ac:dyDescent="0.35">
      <c r="F124" s="1" t="s">
        <v>229</v>
      </c>
      <c r="R124" s="1" t="s">
        <v>998</v>
      </c>
      <c r="S124" s="1" t="s">
        <v>999</v>
      </c>
      <c r="T124" s="1" t="s">
        <v>999</v>
      </c>
      <c r="U124" s="1" t="s">
        <v>1000</v>
      </c>
    </row>
    <row r="125" spans="6:21" x14ac:dyDescent="0.35">
      <c r="F125" s="1" t="s">
        <v>234</v>
      </c>
      <c r="R125" s="1" t="s">
        <v>1001</v>
      </c>
      <c r="S125" s="1" t="s">
        <v>1002</v>
      </c>
      <c r="T125" s="1" t="s">
        <v>1002</v>
      </c>
      <c r="U125" s="1" t="s">
        <v>1003</v>
      </c>
    </row>
    <row r="126" spans="6:21" x14ac:dyDescent="0.35">
      <c r="F126" s="1" t="s">
        <v>233</v>
      </c>
      <c r="R126" s="1" t="s">
        <v>1004</v>
      </c>
      <c r="S126" s="1" t="s">
        <v>1005</v>
      </c>
      <c r="T126" s="1" t="s">
        <v>1005</v>
      </c>
      <c r="U126" s="1" t="s">
        <v>1006</v>
      </c>
    </row>
    <row r="127" spans="6:21" x14ac:dyDescent="0.35">
      <c r="F127" s="1" t="s">
        <v>238</v>
      </c>
      <c r="R127" s="1" t="s">
        <v>1007</v>
      </c>
      <c r="S127" s="1" t="s">
        <v>1008</v>
      </c>
      <c r="T127" s="1" t="s">
        <v>1009</v>
      </c>
      <c r="U127" s="1" t="s">
        <v>1010</v>
      </c>
    </row>
    <row r="128" spans="6:21" x14ac:dyDescent="0.35">
      <c r="F128" s="1" t="s">
        <v>231</v>
      </c>
      <c r="R128" s="1" t="s">
        <v>1011</v>
      </c>
      <c r="S128" s="1" t="s">
        <v>1012</v>
      </c>
      <c r="T128" s="1" t="s">
        <v>1013</v>
      </c>
      <c r="U128" s="1" t="s">
        <v>1014</v>
      </c>
    </row>
    <row r="129" spans="6:21" x14ac:dyDescent="0.35">
      <c r="F129" s="1" t="s">
        <v>235</v>
      </c>
      <c r="R129" s="1" t="s">
        <v>1015</v>
      </c>
      <c r="S129" s="1" t="s">
        <v>1016</v>
      </c>
      <c r="T129" s="1" t="s">
        <v>1017</v>
      </c>
      <c r="U129" s="1" t="s">
        <v>1018</v>
      </c>
    </row>
    <row r="130" spans="6:21" x14ac:dyDescent="0.35">
      <c r="F130" s="1" t="s">
        <v>236</v>
      </c>
      <c r="R130" s="1" t="s">
        <v>1019</v>
      </c>
      <c r="S130" s="1" t="s">
        <v>1020</v>
      </c>
      <c r="T130" s="1" t="s">
        <v>1021</v>
      </c>
      <c r="U130" s="1" t="s">
        <v>1022</v>
      </c>
    </row>
    <row r="131" spans="6:21" x14ac:dyDescent="0.35">
      <c r="F131" s="1" t="s">
        <v>250</v>
      </c>
      <c r="R131" s="1" t="s">
        <v>1023</v>
      </c>
      <c r="S131" s="1" t="s">
        <v>1024</v>
      </c>
      <c r="T131" s="1" t="s">
        <v>1025</v>
      </c>
      <c r="U131" s="1" t="s">
        <v>1026</v>
      </c>
    </row>
    <row r="132" spans="6:21" x14ac:dyDescent="0.35">
      <c r="F132" s="1" t="s">
        <v>246</v>
      </c>
      <c r="R132" s="1" t="s">
        <v>1027</v>
      </c>
      <c r="S132" s="1" t="s">
        <v>1028</v>
      </c>
      <c r="T132" s="1" t="s">
        <v>1029</v>
      </c>
      <c r="U132" s="1" t="s">
        <v>1030</v>
      </c>
    </row>
    <row r="133" spans="6:21" x14ac:dyDescent="0.35">
      <c r="F133" s="1" t="s">
        <v>244</v>
      </c>
      <c r="R133" s="1" t="s">
        <v>1031</v>
      </c>
      <c r="S133" s="1" t="s">
        <v>1032</v>
      </c>
      <c r="T133" s="1" t="s">
        <v>1033</v>
      </c>
      <c r="U133" s="1" t="s">
        <v>1034</v>
      </c>
    </row>
    <row r="134" spans="6:21" x14ac:dyDescent="0.35">
      <c r="F134" s="1" t="s">
        <v>258</v>
      </c>
      <c r="R134" s="1" t="s">
        <v>1035</v>
      </c>
      <c r="S134" s="1" t="s">
        <v>1036</v>
      </c>
      <c r="T134" s="1" t="s">
        <v>1036</v>
      </c>
      <c r="U134" s="1" t="s">
        <v>1037</v>
      </c>
    </row>
    <row r="135" spans="6:21" x14ac:dyDescent="0.35">
      <c r="F135" s="1" t="s">
        <v>260</v>
      </c>
      <c r="R135" s="1" t="s">
        <v>538</v>
      </c>
      <c r="S135" s="1" t="s">
        <v>539</v>
      </c>
      <c r="T135" s="1" t="s">
        <v>14</v>
      </c>
      <c r="U135" s="1" t="s">
        <v>1038</v>
      </c>
    </row>
    <row r="136" spans="6:21" x14ac:dyDescent="0.35">
      <c r="F136" s="1" t="s">
        <v>257</v>
      </c>
      <c r="R136" s="1" t="s">
        <v>545</v>
      </c>
      <c r="S136" s="1" t="s">
        <v>1039</v>
      </c>
      <c r="T136" s="1" t="s">
        <v>1039</v>
      </c>
      <c r="U136" s="1" t="s">
        <v>1040</v>
      </c>
    </row>
    <row r="137" spans="6:21" x14ac:dyDescent="0.35">
      <c r="F137" s="1" t="s">
        <v>247</v>
      </c>
    </row>
    <row r="138" spans="6:21" x14ac:dyDescent="0.35">
      <c r="F138" s="1" t="s">
        <v>255</v>
      </c>
    </row>
    <row r="139" spans="6:21" x14ac:dyDescent="0.35">
      <c r="F139" s="1" t="s">
        <v>245</v>
      </c>
    </row>
    <row r="140" spans="6:21" x14ac:dyDescent="0.35">
      <c r="F140" s="1" t="s">
        <v>252</v>
      </c>
    </row>
    <row r="141" spans="6:21" x14ac:dyDescent="0.35">
      <c r="F141" s="1" t="s">
        <v>253</v>
      </c>
    </row>
    <row r="142" spans="6:21" x14ac:dyDescent="0.35">
      <c r="F142" s="1" t="s">
        <v>256</v>
      </c>
    </row>
    <row r="143" spans="6:21" x14ac:dyDescent="0.35">
      <c r="F143" s="1" t="s">
        <v>349</v>
      </c>
    </row>
    <row r="144" spans="6:21" x14ac:dyDescent="0.35">
      <c r="F144" s="1" t="s">
        <v>259</v>
      </c>
    </row>
    <row r="145" spans="6:6" x14ac:dyDescent="0.35">
      <c r="F145" s="1" t="s">
        <v>560</v>
      </c>
    </row>
    <row r="146" spans="6:6" x14ac:dyDescent="0.35">
      <c r="F146" s="1" t="s">
        <v>241</v>
      </c>
    </row>
    <row r="147" spans="6:6" x14ac:dyDescent="0.35">
      <c r="F147" s="1" t="s">
        <v>240</v>
      </c>
    </row>
    <row r="148" spans="6:6" x14ac:dyDescent="0.35">
      <c r="F148" s="1" t="s">
        <v>249</v>
      </c>
    </row>
    <row r="149" spans="6:6" x14ac:dyDescent="0.35">
      <c r="F149" s="1" t="s">
        <v>242</v>
      </c>
    </row>
    <row r="150" spans="6:6" x14ac:dyDescent="0.35">
      <c r="F150" s="1" t="s">
        <v>254</v>
      </c>
    </row>
    <row r="151" spans="6:6" x14ac:dyDescent="0.35">
      <c r="F151" s="1" t="s">
        <v>239</v>
      </c>
    </row>
    <row r="152" spans="6:6" x14ac:dyDescent="0.35">
      <c r="F152" s="1" t="s">
        <v>261</v>
      </c>
    </row>
    <row r="153" spans="6:6" x14ac:dyDescent="0.35">
      <c r="F153" s="1" t="s">
        <v>262</v>
      </c>
    </row>
    <row r="154" spans="6:6" x14ac:dyDescent="0.35">
      <c r="F154" s="1" t="s">
        <v>271</v>
      </c>
    </row>
    <row r="155" spans="6:6" x14ac:dyDescent="0.35">
      <c r="F155" s="1" t="s">
        <v>270</v>
      </c>
    </row>
    <row r="156" spans="6:6" x14ac:dyDescent="0.35">
      <c r="F156" s="1" t="s">
        <v>268</v>
      </c>
    </row>
    <row r="157" spans="6:6" x14ac:dyDescent="0.35">
      <c r="F157" s="1" t="s">
        <v>263</v>
      </c>
    </row>
    <row r="158" spans="6:6" x14ac:dyDescent="0.35">
      <c r="F158" s="1" t="s">
        <v>273</v>
      </c>
    </row>
    <row r="159" spans="6:6" x14ac:dyDescent="0.35">
      <c r="F159" s="1" t="s">
        <v>267</v>
      </c>
    </row>
    <row r="160" spans="6:6" x14ac:dyDescent="0.35">
      <c r="F160" s="1" t="s">
        <v>264</v>
      </c>
    </row>
    <row r="161" spans="6:7" x14ac:dyDescent="0.35">
      <c r="F161" s="1" t="s">
        <v>266</v>
      </c>
    </row>
    <row r="162" spans="6:7" x14ac:dyDescent="0.35">
      <c r="F162" s="1" t="s">
        <v>272</v>
      </c>
    </row>
    <row r="163" spans="6:7" x14ac:dyDescent="0.35">
      <c r="F163" s="1" t="s">
        <v>265</v>
      </c>
    </row>
    <row r="164" spans="6:7" x14ac:dyDescent="0.35">
      <c r="F164" s="1" t="s">
        <v>559</v>
      </c>
    </row>
    <row r="165" spans="6:7" x14ac:dyDescent="0.35">
      <c r="F165" s="1" t="s">
        <v>251</v>
      </c>
      <c r="G165" s="1" t="s">
        <v>22</v>
      </c>
    </row>
    <row r="166" spans="6:7" x14ac:dyDescent="0.35">
      <c r="F166" s="1" t="s">
        <v>269</v>
      </c>
    </row>
    <row r="167" spans="6:7" x14ac:dyDescent="0.35">
      <c r="F167" s="1" t="s">
        <v>274</v>
      </c>
    </row>
    <row r="168" spans="6:7" x14ac:dyDescent="0.35">
      <c r="F168" s="1" t="s">
        <v>280</v>
      </c>
    </row>
    <row r="169" spans="6:7" x14ac:dyDescent="0.35">
      <c r="F169" s="1" t="s">
        <v>288</v>
      </c>
    </row>
    <row r="170" spans="6:7" x14ac:dyDescent="0.35">
      <c r="F170" s="1" t="s">
        <v>396</v>
      </c>
    </row>
    <row r="171" spans="6:7" x14ac:dyDescent="0.35">
      <c r="F171" s="1" t="s">
        <v>275</v>
      </c>
    </row>
    <row r="172" spans="6:7" x14ac:dyDescent="0.35">
      <c r="F172" s="1" t="s">
        <v>278</v>
      </c>
    </row>
    <row r="173" spans="6:7" x14ac:dyDescent="0.35">
      <c r="F173" s="1" t="s">
        <v>289</v>
      </c>
    </row>
    <row r="174" spans="6:7" x14ac:dyDescent="0.35">
      <c r="F174" s="1" t="s">
        <v>276</v>
      </c>
    </row>
    <row r="175" spans="6:7" x14ac:dyDescent="0.35">
      <c r="F175" s="1" t="s">
        <v>279</v>
      </c>
    </row>
    <row r="176" spans="6:7" x14ac:dyDescent="0.35">
      <c r="F176" s="1" t="s">
        <v>283</v>
      </c>
    </row>
    <row r="177" spans="6:7" x14ac:dyDescent="0.35">
      <c r="F177" s="1" t="s">
        <v>281</v>
      </c>
    </row>
    <row r="178" spans="6:7" x14ac:dyDescent="0.35">
      <c r="F178" s="1" t="s">
        <v>287</v>
      </c>
    </row>
    <row r="179" spans="6:7" x14ac:dyDescent="0.35">
      <c r="F179" s="1" t="s">
        <v>284</v>
      </c>
      <c r="G179" s="1" t="s">
        <v>22</v>
      </c>
    </row>
    <row r="180" spans="6:7" x14ac:dyDescent="0.35">
      <c r="F180" s="1" t="s">
        <v>290</v>
      </c>
    </row>
    <row r="181" spans="6:7" x14ac:dyDescent="0.35">
      <c r="F181" s="1" t="s">
        <v>291</v>
      </c>
    </row>
    <row r="182" spans="6:7" x14ac:dyDescent="0.35">
      <c r="F182" s="1" t="s">
        <v>292</v>
      </c>
    </row>
    <row r="183" spans="6:7" x14ac:dyDescent="0.35">
      <c r="F183" s="1" t="s">
        <v>294</v>
      </c>
    </row>
    <row r="184" spans="6:7" x14ac:dyDescent="0.35">
      <c r="F184" s="1" t="s">
        <v>295</v>
      </c>
    </row>
    <row r="185" spans="6:7" x14ac:dyDescent="0.35">
      <c r="F185" s="1" t="s">
        <v>136</v>
      </c>
    </row>
    <row r="186" spans="6:7" x14ac:dyDescent="0.35">
      <c r="F186" s="1" t="s">
        <v>302</v>
      </c>
    </row>
    <row r="187" spans="6:7" x14ac:dyDescent="0.35">
      <c r="F187" s="1" t="s">
        <v>224</v>
      </c>
    </row>
    <row r="188" spans="6:7" x14ac:dyDescent="0.35">
      <c r="F188" s="1" t="s">
        <v>230</v>
      </c>
    </row>
    <row r="189" spans="6:7" x14ac:dyDescent="0.35">
      <c r="F189" s="1" t="s">
        <v>243</v>
      </c>
    </row>
    <row r="190" spans="6:7" x14ac:dyDescent="0.35">
      <c r="F190" s="1" t="s">
        <v>282</v>
      </c>
    </row>
    <row r="191" spans="6:7" x14ac:dyDescent="0.35">
      <c r="F191" s="1" t="s">
        <v>339</v>
      </c>
    </row>
    <row r="192" spans="6:7" x14ac:dyDescent="0.35">
      <c r="F192" s="1" t="s">
        <v>346</v>
      </c>
    </row>
    <row r="193" spans="6:6" x14ac:dyDescent="0.35">
      <c r="F193" s="1" t="s">
        <v>307</v>
      </c>
    </row>
    <row r="194" spans="6:6" x14ac:dyDescent="0.35">
      <c r="F194" s="1" t="s">
        <v>312</v>
      </c>
    </row>
    <row r="195" spans="6:6" x14ac:dyDescent="0.35">
      <c r="F195" s="1" t="s">
        <v>296</v>
      </c>
    </row>
    <row r="196" spans="6:6" x14ac:dyDescent="0.35">
      <c r="F196" s="1" t="s">
        <v>308</v>
      </c>
    </row>
    <row r="197" spans="6:6" x14ac:dyDescent="0.35">
      <c r="F197" s="1" t="s">
        <v>293</v>
      </c>
    </row>
    <row r="198" spans="6:6" x14ac:dyDescent="0.35">
      <c r="F198" s="1" t="s">
        <v>298</v>
      </c>
    </row>
    <row r="199" spans="6:6" x14ac:dyDescent="0.35">
      <c r="F199" s="1" t="s">
        <v>306</v>
      </c>
    </row>
    <row r="200" spans="6:6" x14ac:dyDescent="0.35">
      <c r="F200" s="1" t="s">
        <v>301</v>
      </c>
    </row>
    <row r="201" spans="6:6" x14ac:dyDescent="0.35">
      <c r="F201" s="1" t="s">
        <v>314</v>
      </c>
    </row>
    <row r="202" spans="6:6" x14ac:dyDescent="0.35">
      <c r="F202" s="1" t="s">
        <v>305</v>
      </c>
    </row>
    <row r="203" spans="6:6" x14ac:dyDescent="0.35">
      <c r="F203" s="1" t="s">
        <v>303</v>
      </c>
    </row>
    <row r="204" spans="6:6" x14ac:dyDescent="0.35">
      <c r="F204" s="1" t="s">
        <v>297</v>
      </c>
    </row>
    <row r="205" spans="6:6" x14ac:dyDescent="0.35">
      <c r="F205" s="1" t="s">
        <v>309</v>
      </c>
    </row>
    <row r="206" spans="6:6" x14ac:dyDescent="0.35">
      <c r="F206" s="1" t="s">
        <v>350</v>
      </c>
    </row>
    <row r="207" spans="6:6" x14ac:dyDescent="0.35">
      <c r="F207" s="1" t="s">
        <v>194</v>
      </c>
    </row>
    <row r="208" spans="6:6" x14ac:dyDescent="0.35">
      <c r="F208" s="1" t="s">
        <v>549</v>
      </c>
    </row>
    <row r="209" spans="6:6" x14ac:dyDescent="0.35">
      <c r="F209" s="1" t="s">
        <v>311</v>
      </c>
    </row>
    <row r="210" spans="6:6" x14ac:dyDescent="0.35">
      <c r="F210" s="1" t="s">
        <v>174</v>
      </c>
    </row>
    <row r="211" spans="6:6" x14ac:dyDescent="0.35">
      <c r="F211" s="1" t="s">
        <v>232</v>
      </c>
    </row>
    <row r="212" spans="6:6" x14ac:dyDescent="0.35">
      <c r="F212" s="1" t="s">
        <v>299</v>
      </c>
    </row>
    <row r="213" spans="6:6" x14ac:dyDescent="0.35">
      <c r="F213" s="1" t="s">
        <v>310</v>
      </c>
    </row>
    <row r="214" spans="6:6" x14ac:dyDescent="0.35">
      <c r="F214" s="1" t="s">
        <v>304</v>
      </c>
    </row>
    <row r="215" spans="6:6" x14ac:dyDescent="0.35">
      <c r="F215" s="1" t="s">
        <v>316</v>
      </c>
    </row>
    <row r="216" spans="6:6" x14ac:dyDescent="0.35">
      <c r="F216" s="1" t="s">
        <v>300</v>
      </c>
    </row>
    <row r="217" spans="6:6" x14ac:dyDescent="0.35">
      <c r="F217" s="1" t="s">
        <v>149</v>
      </c>
    </row>
    <row r="218" spans="6:6" x14ac:dyDescent="0.35">
      <c r="F218" s="1" t="s">
        <v>315</v>
      </c>
    </row>
    <row r="219" spans="6:6" x14ac:dyDescent="0.35">
      <c r="F219" s="1" t="s">
        <v>331</v>
      </c>
    </row>
    <row r="220" spans="6:6" x14ac:dyDescent="0.35">
      <c r="F220" s="1" t="s">
        <v>322</v>
      </c>
    </row>
    <row r="221" spans="6:6" x14ac:dyDescent="0.35">
      <c r="F221" s="1" t="s">
        <v>332</v>
      </c>
    </row>
    <row r="222" spans="6:6" x14ac:dyDescent="0.35">
      <c r="F222" s="1" t="s">
        <v>321</v>
      </c>
    </row>
    <row r="223" spans="6:6" x14ac:dyDescent="0.35">
      <c r="F223" s="1" t="s">
        <v>324</v>
      </c>
    </row>
    <row r="224" spans="6:6" x14ac:dyDescent="0.35">
      <c r="F224" s="1" t="s">
        <v>320</v>
      </c>
    </row>
    <row r="225" spans="6:7" x14ac:dyDescent="0.35">
      <c r="F225" s="1" t="s">
        <v>323</v>
      </c>
    </row>
    <row r="226" spans="6:7" x14ac:dyDescent="0.35">
      <c r="F226" s="1" t="s">
        <v>327</v>
      </c>
    </row>
    <row r="227" spans="6:7" x14ac:dyDescent="0.35">
      <c r="F227" s="1" t="s">
        <v>329</v>
      </c>
    </row>
    <row r="228" spans="6:7" x14ac:dyDescent="0.35">
      <c r="F228" s="1" t="s">
        <v>326</v>
      </c>
    </row>
    <row r="229" spans="6:7" x14ac:dyDescent="0.35">
      <c r="F229" s="1" t="s">
        <v>328</v>
      </c>
    </row>
    <row r="230" spans="6:7" x14ac:dyDescent="0.35">
      <c r="F230" s="1" t="s">
        <v>325</v>
      </c>
    </row>
    <row r="231" spans="6:7" x14ac:dyDescent="0.35">
      <c r="F231" s="1" t="s">
        <v>317</v>
      </c>
    </row>
    <row r="232" spans="6:7" x14ac:dyDescent="0.35">
      <c r="F232" s="1" t="s">
        <v>330</v>
      </c>
    </row>
    <row r="233" spans="6:7" x14ac:dyDescent="0.35">
      <c r="F233" s="1" t="s">
        <v>334</v>
      </c>
    </row>
    <row r="234" spans="6:7" x14ac:dyDescent="0.35">
      <c r="F234" s="1" t="s">
        <v>333</v>
      </c>
    </row>
    <row r="235" spans="6:7" x14ac:dyDescent="0.35">
      <c r="F235" s="1" t="s">
        <v>114</v>
      </c>
    </row>
    <row r="236" spans="6:7" x14ac:dyDescent="0.35">
      <c r="F236" s="1" t="s">
        <v>182</v>
      </c>
    </row>
    <row r="237" spans="6:7" x14ac:dyDescent="0.35">
      <c r="F237" s="1" t="s">
        <v>335</v>
      </c>
      <c r="G237" s="1" t="s">
        <v>22</v>
      </c>
    </row>
    <row r="238" spans="6:7" x14ac:dyDescent="0.35">
      <c r="F238" s="1" t="s">
        <v>336</v>
      </c>
    </row>
    <row r="239" spans="6:7" x14ac:dyDescent="0.35">
      <c r="F239" s="1" t="s">
        <v>337</v>
      </c>
    </row>
    <row r="240" spans="6:7" x14ac:dyDescent="0.35">
      <c r="F240" s="1" t="s">
        <v>344</v>
      </c>
    </row>
    <row r="241" spans="6:7" x14ac:dyDescent="0.35">
      <c r="F241" s="1" t="s">
        <v>340</v>
      </c>
    </row>
    <row r="242" spans="6:7" x14ac:dyDescent="0.35">
      <c r="F242" s="1" t="s">
        <v>343</v>
      </c>
    </row>
    <row r="243" spans="6:7" x14ac:dyDescent="0.35">
      <c r="F243" s="1" t="s">
        <v>342</v>
      </c>
      <c r="G243" s="1" t="s">
        <v>22</v>
      </c>
    </row>
    <row r="244" spans="6:7" x14ac:dyDescent="0.35">
      <c r="F244" s="1" t="s">
        <v>345</v>
      </c>
    </row>
    <row r="245" spans="6:7" x14ac:dyDescent="0.35">
      <c r="F245" s="1" t="s">
        <v>286</v>
      </c>
    </row>
    <row r="246" spans="6:7" x14ac:dyDescent="0.35">
      <c r="F246" s="1" t="s">
        <v>172</v>
      </c>
    </row>
    <row r="247" spans="6:7" x14ac:dyDescent="0.35">
      <c r="F247" s="1" t="s">
        <v>348</v>
      </c>
    </row>
    <row r="248" spans="6:7" x14ac:dyDescent="0.35">
      <c r="F248" s="1" t="s">
        <v>351</v>
      </c>
    </row>
    <row r="249" spans="6:7" x14ac:dyDescent="0.35">
      <c r="F249" s="1" t="s">
        <v>352</v>
      </c>
    </row>
  </sheetData>
  <sheetProtection algorithmName="SHA-512" hashValue="/r9cSAjtqm5Pe2f/YoMYXA7Jho6IdIMeI/YnavkxinHAUyOGocKaViCMdAe3kiywKFazOv7+5OJQyFqxwADCNw==" saltValue="9JWeiYj6BPRfdT/9Un1vWg==" spinCount="100000" sheet="1" selectLockedCells="1" selectUnlockedCells="1"/>
  <sortState ref="F3:F247">
    <sortCondition ref="F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Home</vt:lpstr>
      <vt:lpstr>CPNY</vt:lpstr>
      <vt:lpstr>INDV</vt:lpstr>
      <vt:lpstr>STPT</vt:lpstr>
      <vt:lpstr>FRGN</vt:lpstr>
      <vt:lpstr>Drop Down</vt:lpstr>
      <vt:lpstr>CPNY!Print_Area</vt:lpstr>
      <vt:lpstr>FRGN!Print_Area</vt:lpstr>
      <vt:lpstr>INDV!Print_Area</vt:lpstr>
      <vt:lpstr>STPT!Print_Area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Paul Anthony</dc:creator>
  <cp:lastModifiedBy>Meadows, Candace</cp:lastModifiedBy>
  <cp:lastPrinted>2019-09-03T13:30:59Z</cp:lastPrinted>
  <dcterms:created xsi:type="dcterms:W3CDTF">2019-03-12T12:41:53Z</dcterms:created>
  <dcterms:modified xsi:type="dcterms:W3CDTF">2020-04-17T14:42:33Z</dcterms:modified>
</cp:coreProperties>
</file>